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esktop\"/>
    </mc:Choice>
  </mc:AlternateContent>
  <xr:revisionPtr revIDLastSave="0" documentId="13_ncr:1_{FAC0B79E-C349-406D-9D57-D00AEA0C6CC8}" xr6:coauthVersionLast="47" xr6:coauthVersionMax="47" xr10:uidLastSave="{00000000-0000-0000-0000-000000000000}"/>
  <bookViews>
    <workbookView xWindow="16290" yWindow="3870" windowWidth="22500" windowHeight="15780" tabRatio="458" activeTab="1" xr2:uid="{00000000-000D-0000-FFFF-FFFF00000000}"/>
  </bookViews>
  <sheets>
    <sheet name="Exh 4-1" sheetId="18" r:id="rId1"/>
    <sheet name="Exh 4-2" sheetId="1" r:id="rId2"/>
    <sheet name="Exh 4-3" sheetId="2" r:id="rId3"/>
    <sheet name="Exh 4-4" sheetId="3" r:id="rId4"/>
    <sheet name="Exh 4-5" sheetId="4" r:id="rId5"/>
    <sheet name="Exh 4-6" sheetId="5" r:id="rId6"/>
    <sheet name="Scenario Summary" sheetId="19" r:id="rId7"/>
    <sheet name="Exh 4-8" sheetId="10" r:id="rId8"/>
    <sheet name="Exh 4-9" sheetId="8" r:id="rId9"/>
    <sheet name="Exh 4-10" sheetId="15" r:id="rId10"/>
  </sheets>
  <definedNames>
    <definedName name="August" localSheetId="5">'Exh 4-6'!$G$25</definedName>
    <definedName name="July" localSheetId="5">'Exh 4-6'!$F$25</definedName>
    <definedName name="June" localSheetId="5">'Exh 4-6'!$E$25</definedName>
    <definedName name="June_Borrowing">'Exh 4-9'!$E$31</definedName>
    <definedName name="Max_Borrowing">'Exh 4-6'!$J$32</definedName>
    <definedName name="_xlnm.Print_Area" localSheetId="7">'Exh 4-8'!$A$16:$H$39</definedName>
    <definedName name="September" localSheetId="5">'Exh 4-6'!$H$25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3" l="1"/>
  <c r="B37" i="8" l="1"/>
  <c r="E20" i="1"/>
  <c r="F20" i="1"/>
  <c r="G20" i="1"/>
  <c r="H20" i="1"/>
  <c r="E27" i="1"/>
  <c r="C4" i="1"/>
  <c r="H7" i="1" l="1"/>
  <c r="G7" i="1"/>
  <c r="F7" i="1"/>
  <c r="E7" i="1"/>
  <c r="B8" i="5" l="1"/>
  <c r="B9" i="5"/>
  <c r="B13" i="5"/>
  <c r="D4" i="18" l="1"/>
  <c r="E4" i="18" s="1"/>
  <c r="F4" i="18" l="1"/>
  <c r="G4" i="18" s="1"/>
  <c r="H4" i="18" s="1"/>
  <c r="I4" i="18" s="1"/>
  <c r="D4" i="1"/>
  <c r="E4" i="1" s="1"/>
  <c r="A3" i="18" l="1"/>
  <c r="F4" i="1"/>
  <c r="G4" i="1" s="1"/>
  <c r="H4" i="1" s="1"/>
  <c r="I4" i="1" s="1"/>
  <c r="A2" i="5"/>
  <c r="A2" i="15"/>
  <c r="A1" i="15"/>
  <c r="A1" i="8"/>
  <c r="A1" i="10"/>
  <c r="A1" i="5"/>
  <c r="A1" i="4"/>
  <c r="A3" i="1" l="1"/>
  <c r="B13" i="15" l="1"/>
  <c r="D32" i="5" l="1"/>
  <c r="B14" i="1" l="1"/>
  <c r="B14" i="5" s="1"/>
  <c r="B13" i="8"/>
  <c r="B37" i="15"/>
  <c r="D31" i="15" s="1"/>
  <c r="B37" i="10"/>
  <c r="B34" i="5"/>
  <c r="B33" i="4"/>
  <c r="B33" i="3"/>
  <c r="B33" i="2"/>
  <c r="B20" i="2"/>
  <c r="B13" i="2"/>
  <c r="B11" i="2"/>
  <c r="B9" i="2"/>
  <c r="B8" i="2"/>
  <c r="B7" i="2"/>
  <c r="B20" i="3"/>
  <c r="B13" i="3"/>
  <c r="B11" i="3"/>
  <c r="B9" i="3"/>
  <c r="B8" i="3"/>
  <c r="B7" i="3"/>
  <c r="B20" i="4"/>
  <c r="B13" i="4"/>
  <c r="B11" i="4"/>
  <c r="B9" i="4"/>
  <c r="B8" i="4"/>
  <c r="B7" i="4"/>
  <c r="B20" i="5"/>
  <c r="B11" i="5"/>
  <c r="B7" i="5"/>
  <c r="B20" i="10"/>
  <c r="B13" i="10"/>
  <c r="B11" i="10"/>
  <c r="B9" i="10"/>
  <c r="B8" i="10"/>
  <c r="B7" i="10"/>
  <c r="B20" i="8"/>
  <c r="B11" i="8"/>
  <c r="B9" i="8"/>
  <c r="B8" i="8"/>
  <c r="B7" i="8"/>
  <c r="B20" i="15"/>
  <c r="B11" i="15"/>
  <c r="B9" i="15"/>
  <c r="B8" i="15"/>
  <c r="B7" i="15"/>
  <c r="D5" i="15"/>
  <c r="E5" i="15"/>
  <c r="F5" i="15"/>
  <c r="G5" i="15"/>
  <c r="H5" i="15"/>
  <c r="I5" i="15"/>
  <c r="C5" i="15"/>
  <c r="D5" i="8"/>
  <c r="E5" i="8"/>
  <c r="F5" i="8"/>
  <c r="G5" i="8"/>
  <c r="H5" i="8"/>
  <c r="I5" i="8"/>
  <c r="C5" i="8"/>
  <c r="D5" i="10"/>
  <c r="E5" i="10"/>
  <c r="F5" i="10"/>
  <c r="G5" i="10"/>
  <c r="H5" i="10"/>
  <c r="I5" i="10"/>
  <c r="C5" i="10"/>
  <c r="D5" i="5"/>
  <c r="E5" i="5"/>
  <c r="F5" i="5"/>
  <c r="G5" i="5"/>
  <c r="H5" i="5"/>
  <c r="I5" i="5"/>
  <c r="C5" i="5"/>
  <c r="D5" i="4"/>
  <c r="E5" i="4"/>
  <c r="F5" i="4"/>
  <c r="G5" i="4"/>
  <c r="H5" i="4"/>
  <c r="I5" i="4"/>
  <c r="C5" i="4"/>
  <c r="D5" i="3"/>
  <c r="E5" i="3"/>
  <c r="F5" i="3"/>
  <c r="G5" i="3"/>
  <c r="H5" i="3"/>
  <c r="I5" i="3"/>
  <c r="C5" i="3"/>
  <c r="D5" i="2"/>
  <c r="E5" i="2"/>
  <c r="F5" i="2"/>
  <c r="G5" i="2"/>
  <c r="H5" i="2"/>
  <c r="I5" i="2"/>
  <c r="C5" i="2"/>
  <c r="D40" i="15"/>
  <c r="D39" i="15"/>
  <c r="D40" i="8"/>
  <c r="D39" i="8"/>
  <c r="D34" i="10"/>
  <c r="E28" i="10"/>
  <c r="D39" i="10"/>
  <c r="E11" i="1"/>
  <c r="F13" i="1" s="1"/>
  <c r="D11" i="1"/>
  <c r="E13" i="1" s="1"/>
  <c r="F8" i="1"/>
  <c r="F9" i="1"/>
  <c r="C11" i="1"/>
  <c r="E8" i="1"/>
  <c r="E9" i="1"/>
  <c r="F11" i="1"/>
  <c r="G8" i="1"/>
  <c r="G9" i="1"/>
  <c r="G11" i="1"/>
  <c r="H13" i="1" s="1"/>
  <c r="H8" i="1"/>
  <c r="H9" i="1"/>
  <c r="H11" i="1"/>
  <c r="A2" i="2"/>
  <c r="A1" i="2"/>
  <c r="E27" i="2"/>
  <c r="A2" i="3"/>
  <c r="A1" i="3"/>
  <c r="E27" i="3"/>
  <c r="E27" i="4"/>
  <c r="E27" i="5"/>
  <c r="E23" i="10" l="1"/>
  <c r="H20" i="2"/>
  <c r="E14" i="1"/>
  <c r="E15" i="1" s="1"/>
  <c r="E19" i="1" s="1"/>
  <c r="E26" i="1" s="1"/>
  <c r="H14" i="1"/>
  <c r="H15" i="1" s="1"/>
  <c r="H19" i="1" s="1"/>
  <c r="H26" i="1" s="1"/>
  <c r="B14" i="8"/>
  <c r="B14" i="15"/>
  <c r="H7" i="5"/>
  <c r="E20" i="8"/>
  <c r="D32" i="15"/>
  <c r="D33" i="15" s="1"/>
  <c r="E28" i="15" s="1"/>
  <c r="F20" i="4"/>
  <c r="H11" i="5"/>
  <c r="E7" i="5"/>
  <c r="C4" i="5"/>
  <c r="C4" i="3"/>
  <c r="C4" i="8"/>
  <c r="C11" i="8"/>
  <c r="F20" i="3"/>
  <c r="G8" i="15"/>
  <c r="E35" i="10"/>
  <c r="F20" i="2"/>
  <c r="H7" i="4"/>
  <c r="G8" i="8"/>
  <c r="E8" i="5"/>
  <c r="C4" i="10"/>
  <c r="G11" i="3"/>
  <c r="H13" i="3" s="1"/>
  <c r="C11" i="3"/>
  <c r="C4" i="15"/>
  <c r="F8" i="3"/>
  <c r="B14" i="10"/>
  <c r="E7" i="2"/>
  <c r="D11" i="8"/>
  <c r="E13" i="8" s="1"/>
  <c r="H11" i="3"/>
  <c r="G7" i="4"/>
  <c r="E8" i="4"/>
  <c r="F7" i="4"/>
  <c r="G9" i="4"/>
  <c r="H9" i="4"/>
  <c r="D11" i="5"/>
  <c r="E13" i="5" s="1"/>
  <c r="F11" i="5"/>
  <c r="G13" i="5" s="1"/>
  <c r="E9" i="10"/>
  <c r="H9" i="10"/>
  <c r="H11" i="8"/>
  <c r="B14" i="2"/>
  <c r="H20" i="10"/>
  <c r="E8" i="15"/>
  <c r="G9" i="5"/>
  <c r="G8" i="3"/>
  <c r="G9" i="8"/>
  <c r="E9" i="5"/>
  <c r="B14" i="3"/>
  <c r="E20" i="4"/>
  <c r="E20" i="3"/>
  <c r="B14" i="4"/>
  <c r="H8" i="3"/>
  <c r="H8" i="2"/>
  <c r="H20" i="5"/>
  <c r="C11" i="5"/>
  <c r="D11" i="15"/>
  <c r="F8" i="8"/>
  <c r="E8" i="2"/>
  <c r="F9" i="10"/>
  <c r="F11" i="8"/>
  <c r="H8" i="15"/>
  <c r="F8" i="4"/>
  <c r="H9" i="3"/>
  <c r="G11" i="5"/>
  <c r="H13" i="5" s="1"/>
  <c r="G8" i="4"/>
  <c r="E11" i="4"/>
  <c r="F13" i="4" s="1"/>
  <c r="F7" i="8"/>
  <c r="F20" i="15"/>
  <c r="G8" i="5"/>
  <c r="H11" i="10"/>
  <c r="E7" i="4"/>
  <c r="F8" i="5"/>
  <c r="G20" i="3"/>
  <c r="H8" i="5"/>
  <c r="G7" i="10"/>
  <c r="E9" i="4"/>
  <c r="G7" i="8"/>
  <c r="F11" i="10"/>
  <c r="G13" i="10" s="1"/>
  <c r="F20" i="8"/>
  <c r="E9" i="15"/>
  <c r="G7" i="5"/>
  <c r="F20" i="10"/>
  <c r="E11" i="8"/>
  <c r="G11" i="10"/>
  <c r="H13" i="10" s="1"/>
  <c r="H20" i="4"/>
  <c r="E11" i="2"/>
  <c r="F13" i="2" s="1"/>
  <c r="G10" i="1"/>
  <c r="G17" i="1" s="1"/>
  <c r="G13" i="1"/>
  <c r="H9" i="15"/>
  <c r="F9" i="4"/>
  <c r="C11" i="4"/>
  <c r="F7" i="10"/>
  <c r="F14" i="1"/>
  <c r="F15" i="1" s="1"/>
  <c r="F19" i="1" s="1"/>
  <c r="F26" i="1" s="1"/>
  <c r="E11" i="5"/>
  <c r="F13" i="5" s="1"/>
  <c r="H10" i="1"/>
  <c r="H17" i="1" s="1"/>
  <c r="H28" i="1" s="1"/>
  <c r="G20" i="2"/>
  <c r="F8" i="2"/>
  <c r="H7" i="2"/>
  <c r="H7" i="10"/>
  <c r="E7" i="10"/>
  <c r="H7" i="8"/>
  <c r="F9" i="15"/>
  <c r="H9" i="8"/>
  <c r="G8" i="10"/>
  <c r="E11" i="3"/>
  <c r="F13" i="3" s="1"/>
  <c r="E8" i="3"/>
  <c r="G9" i="3"/>
  <c r="D11" i="3"/>
  <c r="F11" i="3"/>
  <c r="G13" i="3" s="1"/>
  <c r="H11" i="2"/>
  <c r="G11" i="2"/>
  <c r="H13" i="2" s="1"/>
  <c r="F9" i="2"/>
  <c r="C11" i="2"/>
  <c r="E9" i="2"/>
  <c r="H9" i="2"/>
  <c r="G20" i="10"/>
  <c r="E10" i="1"/>
  <c r="E17" i="1" s="1"/>
  <c r="E28" i="1" s="1"/>
  <c r="E29" i="1" s="1"/>
  <c r="G14" i="1"/>
  <c r="G11" i="15"/>
  <c r="H13" i="15" s="1"/>
  <c r="F9" i="5"/>
  <c r="F10" i="1"/>
  <c r="F17" i="1" s="1"/>
  <c r="F28" i="1" s="1"/>
  <c r="H8" i="8"/>
  <c r="E7" i="8"/>
  <c r="G20" i="8"/>
  <c r="C11" i="10"/>
  <c r="G8" i="2"/>
  <c r="F7" i="2"/>
  <c r="D11" i="2"/>
  <c r="E13" i="2" s="1"/>
  <c r="H8" i="10"/>
  <c r="E11" i="10"/>
  <c r="F13" i="10" s="1"/>
  <c r="F11" i="2"/>
  <c r="G13" i="2" s="1"/>
  <c r="E9" i="3"/>
  <c r="H20" i="15"/>
  <c r="C4" i="4"/>
  <c r="C4" i="2"/>
  <c r="E9" i="8"/>
  <c r="F8" i="10"/>
  <c r="D11" i="10"/>
  <c r="E13" i="10" s="1"/>
  <c r="F11" i="15"/>
  <c r="C11" i="15"/>
  <c r="E7" i="15"/>
  <c r="F7" i="15"/>
  <c r="E20" i="5"/>
  <c r="F11" i="4"/>
  <c r="G13" i="4" s="1"/>
  <c r="E7" i="3"/>
  <c r="H9" i="5"/>
  <c r="G20" i="5"/>
  <c r="F20" i="5"/>
  <c r="H11" i="4"/>
  <c r="G20" i="4"/>
  <c r="H20" i="3"/>
  <c r="F9" i="3"/>
  <c r="G9" i="2"/>
  <c r="E20" i="10"/>
  <c r="E8" i="10"/>
  <c r="G11" i="8"/>
  <c r="H13" i="8" s="1"/>
  <c r="E8" i="8"/>
  <c r="E11" i="15"/>
  <c r="G9" i="15"/>
  <c r="F9" i="8"/>
  <c r="H7" i="15"/>
  <c r="E20" i="15"/>
  <c r="H11" i="15"/>
  <c r="G7" i="15"/>
  <c r="F7" i="5"/>
  <c r="H8" i="4"/>
  <c r="D11" i="4"/>
  <c r="H7" i="3"/>
  <c r="E20" i="2"/>
  <c r="F8" i="15"/>
  <c r="G11" i="4"/>
  <c r="H13" i="4" s="1"/>
  <c r="G7" i="3"/>
  <c r="F7" i="3"/>
  <c r="G7" i="2"/>
  <c r="G9" i="10"/>
  <c r="H20" i="8"/>
  <c r="D4" i="15"/>
  <c r="D4" i="2"/>
  <c r="D4" i="8"/>
  <c r="D4" i="5"/>
  <c r="D4" i="3"/>
  <c r="D4" i="10"/>
  <c r="D4" i="4"/>
  <c r="E28" i="8"/>
  <c r="D34" i="8"/>
  <c r="G20" i="15"/>
  <c r="E30" i="1" l="1"/>
  <c r="E31" i="1" s="1"/>
  <c r="F27" i="1" s="1"/>
  <c r="F29" i="1" s="1"/>
  <c r="E14" i="4"/>
  <c r="E14" i="8"/>
  <c r="E15" i="8" s="1"/>
  <c r="E19" i="8" s="1"/>
  <c r="H14" i="8"/>
  <c r="H15" i="8" s="1"/>
  <c r="H19" i="8" s="1"/>
  <c r="G14" i="8"/>
  <c r="G15" i="1"/>
  <c r="G19" i="1" s="1"/>
  <c r="G26" i="1" s="1"/>
  <c r="G28" i="1" s="1"/>
  <c r="E14" i="5"/>
  <c r="E15" i="5" s="1"/>
  <c r="E19" i="5" s="1"/>
  <c r="E26" i="5" s="1"/>
  <c r="H10" i="4"/>
  <c r="H17" i="4" s="1"/>
  <c r="F14" i="15"/>
  <c r="E14" i="2"/>
  <c r="E15" i="2" s="1"/>
  <c r="E19" i="2" s="1"/>
  <c r="E26" i="2" s="1"/>
  <c r="H14" i="5"/>
  <c r="H15" i="5" s="1"/>
  <c r="H19" i="5" s="1"/>
  <c r="H26" i="5" s="1"/>
  <c r="G14" i="2"/>
  <c r="G15" i="2" s="1"/>
  <c r="G19" i="2" s="1"/>
  <c r="G26" i="2" s="1"/>
  <c r="G10" i="3"/>
  <c r="G17" i="3" s="1"/>
  <c r="F14" i="8"/>
  <c r="D34" i="15"/>
  <c r="E23" i="15" s="1"/>
  <c r="E14" i="15"/>
  <c r="H14" i="15"/>
  <c r="H15" i="15" s="1"/>
  <c r="H19" i="15" s="1"/>
  <c r="G14" i="3"/>
  <c r="G15" i="3" s="1"/>
  <c r="G19" i="3" s="1"/>
  <c r="G26" i="3" s="1"/>
  <c r="E10" i="15"/>
  <c r="E17" i="15" s="1"/>
  <c r="G14" i="5"/>
  <c r="G15" i="5" s="1"/>
  <c r="G19" i="5" s="1"/>
  <c r="G26" i="5" s="1"/>
  <c r="E10" i="5"/>
  <c r="E17" i="5" s="1"/>
  <c r="G10" i="5"/>
  <c r="G17" i="5" s="1"/>
  <c r="G13" i="8"/>
  <c r="E14" i="3"/>
  <c r="F14" i="3"/>
  <c r="F15" i="3" s="1"/>
  <c r="F19" i="3" s="1"/>
  <c r="F26" i="3" s="1"/>
  <c r="G10" i="8"/>
  <c r="G17" i="8" s="1"/>
  <c r="E13" i="15"/>
  <c r="H10" i="3"/>
  <c r="H17" i="3" s="1"/>
  <c r="F13" i="8"/>
  <c r="H10" i="15"/>
  <c r="H17" i="15" s="1"/>
  <c r="H14" i="10"/>
  <c r="H15" i="10" s="1"/>
  <c r="H19" i="10" s="1"/>
  <c r="E14" i="10"/>
  <c r="E15" i="10" s="1"/>
  <c r="E19" i="10" s="1"/>
  <c r="E27" i="10" s="1"/>
  <c r="F10" i="10"/>
  <c r="F17" i="10" s="1"/>
  <c r="H10" i="2"/>
  <c r="H17" i="2" s="1"/>
  <c r="H14" i="2"/>
  <c r="H15" i="2" s="1"/>
  <c r="H19" i="2" s="1"/>
  <c r="H26" i="2" s="1"/>
  <c r="E10" i="2"/>
  <c r="E17" i="2" s="1"/>
  <c r="E10" i="10"/>
  <c r="E17" i="10" s="1"/>
  <c r="G10" i="4"/>
  <c r="G17" i="4" s="1"/>
  <c r="G10" i="10"/>
  <c r="G17" i="10" s="1"/>
  <c r="E13" i="3"/>
  <c r="F10" i="8"/>
  <c r="F17" i="8" s="1"/>
  <c r="H10" i="5"/>
  <c r="H17" i="5" s="1"/>
  <c r="H14" i="3"/>
  <c r="H15" i="3" s="1"/>
  <c r="H19" i="3" s="1"/>
  <c r="H26" i="3" s="1"/>
  <c r="F10" i="4"/>
  <c r="F17" i="4" s="1"/>
  <c r="E10" i="4"/>
  <c r="E17" i="4" s="1"/>
  <c r="F10" i="15"/>
  <c r="F17" i="15" s="1"/>
  <c r="F14" i="5"/>
  <c r="F15" i="5" s="1"/>
  <c r="F19" i="5" s="1"/>
  <c r="F26" i="5" s="1"/>
  <c r="G13" i="15"/>
  <c r="G14" i="10"/>
  <c r="G15" i="10" s="1"/>
  <c r="G19" i="10" s="1"/>
  <c r="F10" i="5"/>
  <c r="F17" i="5" s="1"/>
  <c r="G14" i="4"/>
  <c r="G15" i="4" s="1"/>
  <c r="G19" i="4" s="1"/>
  <c r="G26" i="4" s="1"/>
  <c r="E10" i="3"/>
  <c r="E17" i="3" s="1"/>
  <c r="E10" i="8"/>
  <c r="E17" i="8" s="1"/>
  <c r="H10" i="8"/>
  <c r="H17" i="8" s="1"/>
  <c r="H10" i="10"/>
  <c r="H17" i="10" s="1"/>
  <c r="G10" i="15"/>
  <c r="G17" i="15" s="1"/>
  <c r="F14" i="10"/>
  <c r="F15" i="10" s="1"/>
  <c r="F19" i="10" s="1"/>
  <c r="F10" i="3"/>
  <c r="F17" i="3" s="1"/>
  <c r="F10" i="2"/>
  <c r="F17" i="2" s="1"/>
  <c r="G10" i="2"/>
  <c r="G17" i="2" s="1"/>
  <c r="F14" i="2"/>
  <c r="F15" i="2" s="1"/>
  <c r="F19" i="2" s="1"/>
  <c r="F26" i="2" s="1"/>
  <c r="H14" i="4"/>
  <c r="H15" i="4" s="1"/>
  <c r="H19" i="4" s="1"/>
  <c r="H26" i="4" s="1"/>
  <c r="F13" i="15"/>
  <c r="G14" i="15"/>
  <c r="F14" i="4"/>
  <c r="F15" i="4" s="1"/>
  <c r="F19" i="4" s="1"/>
  <c r="F26" i="4" s="1"/>
  <c r="E13" i="4"/>
  <c r="E4" i="4"/>
  <c r="E4" i="10"/>
  <c r="E4" i="15"/>
  <c r="E4" i="2"/>
  <c r="E4" i="8"/>
  <c r="E4" i="5"/>
  <c r="E4" i="3"/>
  <c r="E23" i="8"/>
  <c r="F30" i="1" l="1"/>
  <c r="F31" i="1" s="1"/>
  <c r="G27" i="1" s="1"/>
  <c r="G29" i="1" s="1"/>
  <c r="E15" i="4"/>
  <c r="E19" i="4" s="1"/>
  <c r="E26" i="4" s="1"/>
  <c r="E28" i="4" s="1"/>
  <c r="E29" i="4" s="1"/>
  <c r="G15" i="8"/>
  <c r="G19" i="8" s="1"/>
  <c r="H28" i="4"/>
  <c r="F15" i="15"/>
  <c r="F19" i="15" s="1"/>
  <c r="F15" i="8"/>
  <c r="F19" i="8" s="1"/>
  <c r="G28" i="3"/>
  <c r="G28" i="5"/>
  <c r="E15" i="15"/>
  <c r="E19" i="15" s="1"/>
  <c r="E27" i="15" s="1"/>
  <c r="E29" i="15" s="1"/>
  <c r="E30" i="15" s="1"/>
  <c r="E31" i="15" s="1"/>
  <c r="E28" i="5"/>
  <c r="E29" i="5" s="1"/>
  <c r="H28" i="3"/>
  <c r="E15" i="3"/>
  <c r="E19" i="3" s="1"/>
  <c r="E26" i="3" s="1"/>
  <c r="E28" i="3" s="1"/>
  <c r="E29" i="3" s="1"/>
  <c r="E29" i="10"/>
  <c r="E30" i="10" s="1"/>
  <c r="F28" i="4"/>
  <c r="E28" i="2"/>
  <c r="E29" i="2" s="1"/>
  <c r="E30" i="2" s="1"/>
  <c r="E31" i="2" s="1"/>
  <c r="F27" i="2" s="1"/>
  <c r="H28" i="2"/>
  <c r="G28" i="4"/>
  <c r="G15" i="15"/>
  <c r="G19" i="15" s="1"/>
  <c r="F28" i="5"/>
  <c r="H28" i="5"/>
  <c r="F28" i="3"/>
  <c r="F28" i="2"/>
  <c r="G28" i="2"/>
  <c r="F4" i="8"/>
  <c r="F4" i="15"/>
  <c r="F4" i="3"/>
  <c r="F4" i="5"/>
  <c r="F4" i="2"/>
  <c r="F4" i="10"/>
  <c r="F4" i="4"/>
  <c r="E35" i="15"/>
  <c r="E35" i="8"/>
  <c r="E27" i="8"/>
  <c r="E29" i="8" s="1"/>
  <c r="E30" i="8" s="1"/>
  <c r="E31" i="8" s="1"/>
  <c r="E30" i="3" l="1"/>
  <c r="E31" i="3" s="1"/>
  <c r="F27" i="3" s="1"/>
  <c r="F29" i="3" s="1"/>
  <c r="F30" i="3" s="1"/>
  <c r="E30" i="5"/>
  <c r="E32" i="5" s="1"/>
  <c r="G30" i="1"/>
  <c r="G31" i="1" s="1"/>
  <c r="H27" i="1" s="1"/>
  <c r="H29" i="1" s="1"/>
  <c r="E31" i="10"/>
  <c r="E34" i="10" s="1"/>
  <c r="F23" i="10" s="1"/>
  <c r="E30" i="4"/>
  <c r="E31" i="4" s="1"/>
  <c r="F27" i="4" s="1"/>
  <c r="F29" i="4" s="1"/>
  <c r="F29" i="2"/>
  <c r="F30" i="2" s="1"/>
  <c r="F31" i="2" s="1"/>
  <c r="G27" i="2" s="1"/>
  <c r="G29" i="2" s="1"/>
  <c r="G30" i="2" s="1"/>
  <c r="G31" i="2" s="1"/>
  <c r="H27" i="2" s="1"/>
  <c r="H29" i="2" s="1"/>
  <c r="H30" i="2" s="1"/>
  <c r="H31" i="2" s="1"/>
  <c r="G4" i="10"/>
  <c r="G4" i="2"/>
  <c r="G4" i="8"/>
  <c r="G4" i="3"/>
  <c r="G4" i="5"/>
  <c r="G4" i="4"/>
  <c r="G4" i="15"/>
  <c r="E31" i="5" l="1"/>
  <c r="F27" i="5" s="1"/>
  <c r="F29" i="5" s="1"/>
  <c r="F30" i="5" s="1"/>
  <c r="F31" i="3"/>
  <c r="G27" i="3" s="1"/>
  <c r="G29" i="3" s="1"/>
  <c r="H30" i="1"/>
  <c r="H31" i="1" s="1"/>
  <c r="F32" i="5"/>
  <c r="F27" i="10"/>
  <c r="F29" i="10" s="1"/>
  <c r="F35" i="10"/>
  <c r="E33" i="10"/>
  <c r="F28" i="10" s="1"/>
  <c r="F30" i="4"/>
  <c r="F31" i="4" s="1"/>
  <c r="G27" i="4" s="1"/>
  <c r="G29" i="4" s="1"/>
  <c r="G30" i="4" s="1"/>
  <c r="G31" i="4" s="1"/>
  <c r="H27" i="4" s="1"/>
  <c r="H29" i="4" s="1"/>
  <c r="H4" i="15"/>
  <c r="H4" i="5"/>
  <c r="H4" i="3"/>
  <c r="H4" i="8"/>
  <c r="H4" i="10"/>
  <c r="H4" i="4"/>
  <c r="H4" i="2"/>
  <c r="E32" i="15"/>
  <c r="E33" i="15" s="1"/>
  <c r="F28" i="15" s="1"/>
  <c r="E32" i="8"/>
  <c r="E33" i="8" s="1"/>
  <c r="F28" i="8" s="1"/>
  <c r="G30" i="3" l="1"/>
  <c r="G31" i="3" s="1"/>
  <c r="H27" i="3" s="1"/>
  <c r="H29" i="3" s="1"/>
  <c r="F30" i="10"/>
  <c r="F31" i="10" s="1"/>
  <c r="F33" i="10" s="1"/>
  <c r="G28" i="10" s="1"/>
  <c r="H30" i="4"/>
  <c r="H31" i="4" s="1"/>
  <c r="F31" i="5"/>
  <c r="G27" i="5" s="1"/>
  <c r="G29" i="5" s="1"/>
  <c r="G30" i="5" s="1"/>
  <c r="E34" i="8"/>
  <c r="F23" i="8" s="1"/>
  <c r="A3" i="5"/>
  <c r="A3" i="2"/>
  <c r="A3" i="8"/>
  <c r="A3" i="15"/>
  <c r="A3" i="4"/>
  <c r="A3" i="3"/>
  <c r="A3" i="10"/>
  <c r="I4" i="5"/>
  <c r="I4" i="8"/>
  <c r="I4" i="15"/>
  <c r="I4" i="4"/>
  <c r="I4" i="3"/>
  <c r="I4" i="10"/>
  <c r="I4" i="2"/>
  <c r="E34" i="15"/>
  <c r="H30" i="3" l="1"/>
  <c r="H31" i="3" s="1"/>
  <c r="F34" i="10"/>
  <c r="G23" i="10" s="1"/>
  <c r="G31" i="5"/>
  <c r="H27" i="5" s="1"/>
  <c r="H29" i="5" s="1"/>
  <c r="H30" i="5" s="1"/>
  <c r="F27" i="8"/>
  <c r="F29" i="8" s="1"/>
  <c r="F30" i="8" s="1"/>
  <c r="F31" i="8" s="1"/>
  <c r="F35" i="8"/>
  <c r="F23" i="15"/>
  <c r="G27" i="10" l="1"/>
  <c r="G29" i="10" s="1"/>
  <c r="G30" i="10" s="1"/>
  <c r="G35" i="10"/>
  <c r="G32" i="5"/>
  <c r="F27" i="15"/>
  <c r="F29" i="15" s="1"/>
  <c r="F30" i="15" s="1"/>
  <c r="F31" i="15" s="1"/>
  <c r="F35" i="15"/>
  <c r="G31" i="10" l="1"/>
  <c r="G34" i="10" s="1"/>
  <c r="F32" i="15"/>
  <c r="F33" i="15" s="1"/>
  <c r="G28" i="15" s="1"/>
  <c r="F32" i="8"/>
  <c r="F33" i="8" s="1"/>
  <c r="G28" i="8" s="1"/>
  <c r="H23" i="10" l="1"/>
  <c r="H27" i="10" s="1"/>
  <c r="H29" i="10" s="1"/>
  <c r="G33" i="10"/>
  <c r="H28" i="10" s="1"/>
  <c r="H35" i="10"/>
  <c r="H31" i="5"/>
  <c r="H32" i="5"/>
  <c r="J32" i="5" s="1"/>
  <c r="F34" i="8"/>
  <c r="F34" i="15"/>
  <c r="H30" i="10" l="1"/>
  <c r="H31" i="10"/>
  <c r="H34" i="10" s="1"/>
  <c r="G23" i="8"/>
  <c r="G23" i="15"/>
  <c r="H33" i="10" l="1"/>
  <c r="G27" i="8"/>
  <c r="G29" i="8" s="1"/>
  <c r="G30" i="8" s="1"/>
  <c r="G31" i="8" s="1"/>
  <c r="G35" i="8"/>
  <c r="G27" i="15"/>
  <c r="G29" i="15" s="1"/>
  <c r="G30" i="15" s="1"/>
  <c r="G31" i="15" s="1"/>
  <c r="G35" i="15"/>
  <c r="G32" i="8" l="1"/>
  <c r="G33" i="8" s="1"/>
  <c r="H28" i="8" s="1"/>
  <c r="G32" i="15"/>
  <c r="G33" i="15" s="1"/>
  <c r="H28" i="15" s="1"/>
  <c r="G34" i="8" l="1"/>
  <c r="G34" i="15"/>
  <c r="H23" i="8" l="1"/>
  <c r="H23" i="15"/>
  <c r="H27" i="8" l="1"/>
  <c r="H29" i="8" s="1"/>
  <c r="H30" i="8" s="1"/>
  <c r="H31" i="8" s="1"/>
  <c r="H35" i="8"/>
  <c r="H27" i="15"/>
  <c r="H29" i="15" s="1"/>
  <c r="H30" i="15" s="1"/>
  <c r="H31" i="15" s="1"/>
  <c r="H35" i="15"/>
  <c r="H32" i="15" l="1"/>
  <c r="H33" i="15" s="1"/>
  <c r="H34" i="15" l="1"/>
  <c r="H32" i="8"/>
  <c r="H33" i="8" s="1"/>
  <c r="H34" i="8" l="1"/>
</calcChain>
</file>

<file path=xl/sharedStrings.xml><?xml version="1.0" encoding="utf-8"?>
<sst xmlns="http://schemas.openxmlformats.org/spreadsheetml/2006/main" count="277" uniqueCount="56">
  <si>
    <t>Cash Budget</t>
  </si>
  <si>
    <t>June</t>
  </si>
  <si>
    <t>July</t>
  </si>
  <si>
    <t>August</t>
  </si>
  <si>
    <t>September</t>
  </si>
  <si>
    <t>Sales</t>
  </si>
  <si>
    <t>Collections:</t>
  </si>
  <si>
    <t xml:space="preserve">        Cash</t>
  </si>
  <si>
    <t xml:space="preserve">        First Month</t>
  </si>
  <si>
    <t xml:space="preserve">        Second Month</t>
  </si>
  <si>
    <t>Total Collections</t>
  </si>
  <si>
    <t>Purchases</t>
  </si>
  <si>
    <t>Payments:</t>
  </si>
  <si>
    <t>Total Payments</t>
  </si>
  <si>
    <t>Collections</t>
  </si>
  <si>
    <t>Less Disbursements:</t>
  </si>
  <si>
    <t xml:space="preserve">   Inventory Payments</t>
  </si>
  <si>
    <t xml:space="preserve">   Wages</t>
  </si>
  <si>
    <t xml:space="preserve">   Lease Payment</t>
  </si>
  <si>
    <t xml:space="preserve">   Interest</t>
  </si>
  <si>
    <t xml:space="preserve">   Dividend (Common)</t>
  </si>
  <si>
    <t xml:space="preserve">   Taxes</t>
  </si>
  <si>
    <t xml:space="preserve">   Capital Outlays</t>
  </si>
  <si>
    <t>Beginning Cash Balance</t>
  </si>
  <si>
    <t>Collections - Disbursement</t>
  </si>
  <si>
    <t>Unadjusted Cash Balance</t>
  </si>
  <si>
    <t>Current Borrowing</t>
  </si>
  <si>
    <t>Ending Cash Balance</t>
  </si>
  <si>
    <t>Notes:</t>
  </si>
  <si>
    <t>Minimum Acceptable Cash</t>
  </si>
  <si>
    <t>Total Disbursements</t>
  </si>
  <si>
    <t>Collections - Disbursements</t>
  </si>
  <si>
    <t>Current Investing</t>
  </si>
  <si>
    <t>Maximum Acceptable Cash</t>
  </si>
  <si>
    <t>Borrowing Rate (Annual)</t>
  </si>
  <si>
    <t>Monthly</t>
  </si>
  <si>
    <t>Lending Rate (Annual)</t>
  </si>
  <si>
    <t>Short-term Interest Expense (Inc.)</t>
  </si>
  <si>
    <t>Expenditure in June</t>
  </si>
  <si>
    <t>Expenditure in July</t>
  </si>
  <si>
    <t>Expenditure in August</t>
  </si>
  <si>
    <t>Expenditure in September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</si>
  <si>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</si>
  <si>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</si>
  <si>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</si>
  <si>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</si>
  <si>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</si>
  <si>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</si>
  <si>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</si>
  <si>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Cumulative Interest Expense (Inc.)</t>
  </si>
  <si>
    <t>Cumulative Borrowing (Investing)</t>
  </si>
  <si>
    <t>Cumulative Borrowing</t>
  </si>
  <si>
    <t>Max_Borrowing</t>
  </si>
  <si>
    <t>Bithlo Barbecues</t>
  </si>
  <si>
    <t>Created by Timothy R. Mayes, Ph.D. on 7/15/2016</t>
  </si>
  <si>
    <t>Created by Timothy R. Mayes, Ph.D. on 2/4/2014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</si>
</sst>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Arial"/>
      <family val="2"/>
    </font>
    <font>
      <sz val="9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4" fillId="2" borderId="1" xfId="0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1" applyNumberFormat="1" applyFont="1" applyAlignment="1">
      <alignment horizontal="right"/>
    </xf>
    <xf numFmtId="0" fontId="6" fillId="0" borderId="0" xfId="0" applyFont="1"/>
    <xf numFmtId="9" fontId="4" fillId="0" borderId="0" xfId="2" applyFont="1" applyAlignment="1">
      <alignment horizontal="center"/>
    </xf>
    <xf numFmtId="37" fontId="4" fillId="0" borderId="2" xfId="1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1" applyNumberFormat="1" applyFont="1" applyAlignment="1">
      <alignment horizontal="right"/>
    </xf>
    <xf numFmtId="37" fontId="3" fillId="0" borderId="3" xfId="1" applyNumberFormat="1" applyFont="1" applyBorder="1" applyAlignment="1">
      <alignment horizontal="right"/>
    </xf>
    <xf numFmtId="0" fontId="3" fillId="0" borderId="0" xfId="0" applyFont="1" applyBorder="1"/>
    <xf numFmtId="9" fontId="3" fillId="0" borderId="0" xfId="2" applyFont="1" applyBorder="1" applyAlignment="1">
      <alignment horizontal="center"/>
    </xf>
    <xf numFmtId="37" fontId="3" fillId="0" borderId="0" xfId="1" applyNumberFormat="1" applyFont="1" applyBorder="1" applyAlignment="1">
      <alignment horizontal="right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37" fontId="4" fillId="0" borderId="4" xfId="0" applyNumberFormat="1" applyFont="1" applyBorder="1" applyAlignment="1">
      <alignment horizontal="right"/>
    </xf>
    <xf numFmtId="37" fontId="4" fillId="0" borderId="0" xfId="0" applyNumberFormat="1" applyFont="1" applyBorder="1" applyAlignment="1">
      <alignment horizontal="right"/>
    </xf>
    <xf numFmtId="0" fontId="7" fillId="0" borderId="0" xfId="0" applyFont="1"/>
    <xf numFmtId="37" fontId="4" fillId="0" borderId="0" xfId="0" applyNumberFormat="1" applyFont="1" applyAlignment="1">
      <alignment horizontal="right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37" fontId="3" fillId="0" borderId="4" xfId="0" applyNumberFormat="1" applyFont="1" applyBorder="1" applyAlignment="1">
      <alignment horizontal="right"/>
    </xf>
    <xf numFmtId="37" fontId="3" fillId="0" borderId="4" xfId="1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indent="1"/>
    </xf>
    <xf numFmtId="3" fontId="4" fillId="0" borderId="0" xfId="1" applyNumberFormat="1" applyFont="1"/>
    <xf numFmtId="9" fontId="4" fillId="0" borderId="0" xfId="0" applyNumberFormat="1" applyFont="1"/>
    <xf numFmtId="10" fontId="4" fillId="0" borderId="0" xfId="2" applyNumberFormat="1" applyFont="1"/>
    <xf numFmtId="37" fontId="0" fillId="0" borderId="0" xfId="0" applyNumberFormat="1" applyFill="1" applyBorder="1" applyAlignment="1"/>
    <xf numFmtId="37" fontId="0" fillId="0" borderId="4" xfId="0" applyNumberFormat="1" applyFill="1" applyBorder="1" applyAlignment="1"/>
    <xf numFmtId="0" fontId="0" fillId="0" borderId="5" xfId="0" applyFill="1" applyBorder="1" applyAlignment="1"/>
    <xf numFmtId="164" fontId="5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0" fillId="0" borderId="0" xfId="0" applyFill="1" applyBorder="1" applyAlignment="1"/>
    <xf numFmtId="37" fontId="0" fillId="5" borderId="0" xfId="0" applyNumberFormat="1" applyFill="1" applyBorder="1" applyAlignment="1"/>
    <xf numFmtId="0" fontId="9" fillId="0" borderId="0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37" fontId="4" fillId="0" borderId="0" xfId="0" applyNumberFormat="1" applyFont="1"/>
    <xf numFmtId="0" fontId="8" fillId="3" borderId="6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zoomScale="130" zoomScaleNormal="130" workbookViewId="0">
      <selection activeCell="E29" sqref="E29"/>
    </sheetView>
  </sheetViews>
  <sheetFormatPr defaultColWidth="8.85546875" defaultRowHeight="12.75" x14ac:dyDescent="0.2"/>
  <cols>
    <col min="1" max="1" width="24.28515625" bestFit="1" customWidth="1"/>
    <col min="2" max="2" width="6.42578125" bestFit="1" customWidth="1"/>
    <col min="3" max="4" width="8.28515625" bestFit="1" customWidth="1"/>
    <col min="5" max="7" width="9.140625" bestFit="1" customWidth="1"/>
    <col min="8" max="8" width="11.140625" bestFit="1" customWidth="1"/>
    <col min="9" max="9" width="8.7109375" bestFit="1" customWidth="1"/>
    <col min="10" max="10" width="10.7109375" bestFit="1" customWidth="1"/>
    <col min="12" max="12" width="9.7109375" bestFit="1" customWidth="1"/>
  </cols>
  <sheetData>
    <row r="1" spans="1:9" ht="14.25" x14ac:dyDescent="0.2">
      <c r="A1" s="2" t="s">
        <v>53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"For the Period "&amp;TEXT(E4,"mmmm")&amp;" to "&amp;TEXT(H4,"mmmm yyyy")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2">
        <v>42826</v>
      </c>
      <c r="D4" s="42">
        <f>DATE(YEAR(C4),MONTH(C4)+1,DAY(C4))</f>
        <v>42856</v>
      </c>
      <c r="E4" s="42">
        <f t="shared" ref="E4:I4" si="0">DATE(YEAR(D4),MONTH(D4)+1,DAY(D4))</f>
        <v>42887</v>
      </c>
      <c r="F4" s="42">
        <f t="shared" si="0"/>
        <v>42917</v>
      </c>
      <c r="G4" s="42">
        <f t="shared" si="0"/>
        <v>42948</v>
      </c>
      <c r="H4" s="42">
        <f t="shared" si="0"/>
        <v>42979</v>
      </c>
      <c r="I4" s="42">
        <f t="shared" si="0"/>
        <v>43009</v>
      </c>
    </row>
    <row r="5" spans="1:9" x14ac:dyDescent="0.2">
      <c r="A5" s="56"/>
    </row>
  </sheetData>
  <printOptions gridLines="1" gridLinesSet="0"/>
  <pageMargins left="0.25" right="0.2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I34"/>
  <sheetViews>
    <sheetView tabSelected="1" zoomScale="130" zoomScaleNormal="130" workbookViewId="0">
      <selection activeCell="C18" sqref="C18"/>
    </sheetView>
  </sheetViews>
  <sheetFormatPr defaultColWidth="8.85546875" defaultRowHeight="12.75" x14ac:dyDescent="0.2"/>
  <cols>
    <col min="1" max="1" width="24.28515625" bestFit="1" customWidth="1"/>
    <col min="2" max="2" width="6.42578125" bestFit="1" customWidth="1"/>
    <col min="3" max="4" width="8.28515625" bestFit="1" customWidth="1"/>
    <col min="5" max="7" width="9.140625" bestFit="1" customWidth="1"/>
    <col min="8" max="8" width="11.140625" bestFit="1" customWidth="1"/>
    <col min="9" max="9" width="8.7109375" bestFit="1" customWidth="1"/>
    <col min="10" max="10" width="10.7109375" bestFit="1" customWidth="1"/>
    <col min="12" max="12" width="9.7109375" bestFit="1" customWidth="1"/>
  </cols>
  <sheetData>
    <row r="1" spans="1:9" ht="14.25" x14ac:dyDescent="0.2">
      <c r="A1" s="2" t="s">
        <v>53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"For the Period "&amp;TEXT(E4,"mmmm")&amp;" to "&amp;TEXT(H4,"mmmm yyyy")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2">
        <f>'Exh 4-1'!C4</f>
        <v>42826</v>
      </c>
      <c r="D4" s="42">
        <f>DATE(YEAR(C4),MONTH(C4)+1,DAY(C4))</f>
        <v>42856</v>
      </c>
      <c r="E4" s="42">
        <f t="shared" ref="E4:I4" si="0">DATE(YEAR(D4),MONTH(D4)+1,DAY(D4))</f>
        <v>42887</v>
      </c>
      <c r="F4" s="42">
        <f t="shared" si="0"/>
        <v>42917</v>
      </c>
      <c r="G4" s="42">
        <f t="shared" si="0"/>
        <v>42948</v>
      </c>
      <c r="H4" s="42">
        <f t="shared" si="0"/>
        <v>42979</v>
      </c>
      <c r="I4" s="42">
        <f t="shared" si="0"/>
        <v>43009</v>
      </c>
    </row>
    <row r="5" spans="1:9" ht="15" x14ac:dyDescent="0.25">
      <c r="A5" s="5" t="s">
        <v>5</v>
      </c>
      <c r="B5" s="6"/>
      <c r="C5" s="7">
        <v>291000</v>
      </c>
      <c r="D5" s="7">
        <v>365000</v>
      </c>
      <c r="E5" s="7">
        <v>387000</v>
      </c>
      <c r="F5" s="7">
        <v>329000</v>
      </c>
      <c r="G5" s="7">
        <v>238000</v>
      </c>
      <c r="H5" s="7">
        <v>145000</v>
      </c>
      <c r="I5" s="7">
        <v>92000</v>
      </c>
    </row>
    <row r="6" spans="1:9" ht="15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x14ac:dyDescent="0.25">
      <c r="A7" s="5" t="s">
        <v>7</v>
      </c>
      <c r="B7" s="9"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x14ac:dyDescent="0.25">
      <c r="A8" s="5" t="s">
        <v>8</v>
      </c>
      <c r="B8" s="9"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x14ac:dyDescent="0.25">
      <c r="A9" s="5" t="s">
        <v>9</v>
      </c>
      <c r="B9" s="9"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thickTop="1" x14ac:dyDescent="0.25">
      <c r="A11" s="5" t="s">
        <v>11</v>
      </c>
      <c r="B11" s="9">
        <v>0.5</v>
      </c>
      <c r="C11" s="7">
        <f t="shared" ref="C11:H11" si="1">$B11*D5</f>
        <v>182500</v>
      </c>
      <c r="D11" s="7">
        <f t="shared" si="1"/>
        <v>193500</v>
      </c>
      <c r="E11" s="7">
        <f t="shared" si="1"/>
        <v>164500</v>
      </c>
      <c r="F11" s="7">
        <f t="shared" si="1"/>
        <v>119000</v>
      </c>
      <c r="G11" s="7">
        <f t="shared" si="1"/>
        <v>72500</v>
      </c>
      <c r="H11" s="7">
        <f t="shared" si="1"/>
        <v>46000</v>
      </c>
      <c r="I11" s="7"/>
    </row>
    <row r="12" spans="1:9" ht="15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x14ac:dyDescent="0.25">
      <c r="A13" s="5" t="s">
        <v>8</v>
      </c>
      <c r="B13" s="9"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x14ac:dyDescent="0.25">
      <c r="A14" s="5" t="s">
        <v>9</v>
      </c>
      <c r="B14" s="9">
        <f>1-B13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4.5" customHeight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9" ht="15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5" t="s">
        <v>20</v>
      </c>
      <c r="B23" s="6"/>
      <c r="C23" s="23"/>
      <c r="D23" s="23"/>
      <c r="E23" s="7">
        <v>50000</v>
      </c>
      <c r="F23" s="7">
        <v>0</v>
      </c>
      <c r="G23" s="7">
        <v>0</v>
      </c>
      <c r="H23" s="7">
        <v>0</v>
      </c>
      <c r="I23" s="23"/>
    </row>
    <row r="24" spans="1:9" ht="15" x14ac:dyDescent="0.25">
      <c r="A24" s="5" t="s">
        <v>21</v>
      </c>
      <c r="B24" s="6"/>
      <c r="C24" s="23"/>
      <c r="D24" s="23"/>
      <c r="E24" s="7">
        <v>25000</v>
      </c>
      <c r="F24" s="7">
        <v>0</v>
      </c>
      <c r="G24" s="7">
        <v>0</v>
      </c>
      <c r="H24" s="7">
        <v>25000</v>
      </c>
      <c r="I24" s="23"/>
    </row>
    <row r="25" spans="1:9" ht="15" x14ac:dyDescent="0.25">
      <c r="A25" s="5" t="s">
        <v>22</v>
      </c>
      <c r="B25" s="6"/>
      <c r="C25" s="23"/>
      <c r="D25" s="23"/>
      <c r="E25" s="10">
        <v>0</v>
      </c>
      <c r="F25" s="10">
        <v>200000</v>
      </c>
      <c r="G25" s="10">
        <v>0</v>
      </c>
      <c r="H25" s="10">
        <v>0</v>
      </c>
      <c r="I25" s="23"/>
    </row>
    <row r="26" spans="1:9" ht="15.75" thickBot="1" x14ac:dyDescent="0.3">
      <c r="A26" s="24" t="s">
        <v>30</v>
      </c>
      <c r="B26" s="25"/>
      <c r="C26" s="26"/>
      <c r="D26" s="26"/>
      <c r="E26" s="27">
        <f>SUM(E19:E25)</f>
        <v>381500</v>
      </c>
      <c r="F26" s="27">
        <f>SUM(F19:F25)</f>
        <v>451900</v>
      </c>
      <c r="G26" s="27">
        <f>SUM(G19:G25)</f>
        <v>194800</v>
      </c>
      <c r="H26" s="27">
        <f>SUM(H19:H25)</f>
        <v>185100</v>
      </c>
      <c r="I26" s="21"/>
    </row>
    <row r="27" spans="1:9" ht="15" x14ac:dyDescent="0.25">
      <c r="A27" s="5" t="s">
        <v>23</v>
      </c>
      <c r="B27" s="6"/>
      <c r="C27" s="23"/>
      <c r="D27" s="23"/>
      <c r="E27" s="23">
        <f>D31</f>
        <v>20000</v>
      </c>
      <c r="F27" s="23">
        <f>E31</f>
        <v>15000</v>
      </c>
      <c r="G27" s="23">
        <f>F31</f>
        <v>15000</v>
      </c>
      <c r="H27" s="23">
        <f>G31</f>
        <v>121500</v>
      </c>
      <c r="I27" s="23"/>
    </row>
    <row r="28" spans="1:9" ht="15" x14ac:dyDescent="0.25">
      <c r="A28" s="5" t="s">
        <v>24</v>
      </c>
      <c r="B28" s="6"/>
      <c r="C28" s="23"/>
      <c r="D28" s="23"/>
      <c r="E28" s="28">
        <f>E17-E26</f>
        <v>-18800</v>
      </c>
      <c r="F28" s="28">
        <f>F17-F26</f>
        <v>-91400</v>
      </c>
      <c r="G28" s="28">
        <f>G17-G26</f>
        <v>106500</v>
      </c>
      <c r="H28" s="28">
        <f>H17-H26</f>
        <v>29350</v>
      </c>
      <c r="I28" s="23"/>
    </row>
    <row r="29" spans="1:9" ht="15" x14ac:dyDescent="0.25">
      <c r="A29" s="5" t="s">
        <v>25</v>
      </c>
      <c r="B29" s="6"/>
      <c r="C29" s="23"/>
      <c r="D29" s="23"/>
      <c r="E29" s="23">
        <f>SUM(E27:E28)</f>
        <v>1200</v>
      </c>
      <c r="F29" s="23">
        <f>SUM(F27:F28)</f>
        <v>-76400</v>
      </c>
      <c r="G29" s="23">
        <f>SUM(G27:G28)</f>
        <v>121500</v>
      </c>
      <c r="H29" s="23">
        <f>SUM(H27:H28)</f>
        <v>150850</v>
      </c>
      <c r="I29" s="23"/>
    </row>
    <row r="30" spans="1:9" ht="15" x14ac:dyDescent="0.25">
      <c r="A30" s="5" t="s">
        <v>26</v>
      </c>
      <c r="B30" s="6"/>
      <c r="C30" s="28"/>
      <c r="D30" s="28"/>
      <c r="E30" s="28">
        <f>IF(E29&lt;$B33,$B33-E29,0)</f>
        <v>13800</v>
      </c>
      <c r="F30" s="28">
        <f>IF(F29&lt;$B33,$B33-F29,0)</f>
        <v>91400</v>
      </c>
      <c r="G30" s="28">
        <f>IF(G29&lt;$B33,$B33-G29,0)</f>
        <v>0</v>
      </c>
      <c r="H30" s="28">
        <f>IF(H29&lt;$B33,$B33-H29,0)</f>
        <v>0</v>
      </c>
      <c r="I30" s="23"/>
    </row>
    <row r="31" spans="1:9" ht="15.75" thickBot="1" x14ac:dyDescent="0.3">
      <c r="A31" s="29" t="s">
        <v>27</v>
      </c>
      <c r="B31" s="30"/>
      <c r="C31" s="31"/>
      <c r="D31" s="31">
        <v>20000</v>
      </c>
      <c r="E31" s="31">
        <f>SUM(E29:E30)</f>
        <v>15000</v>
      </c>
      <c r="F31" s="31">
        <f>SUM(F29:F30)</f>
        <v>15000</v>
      </c>
      <c r="G31" s="31">
        <f>SUM(G29:G30)</f>
        <v>121500</v>
      </c>
      <c r="H31" s="31">
        <f>SUM(H29:H30)</f>
        <v>150850</v>
      </c>
      <c r="I31" s="23"/>
    </row>
    <row r="32" spans="1:9" ht="15.75" thickTop="1" x14ac:dyDescent="0.25">
      <c r="A32" s="5" t="s">
        <v>28</v>
      </c>
      <c r="B32" s="5"/>
      <c r="C32" s="5"/>
      <c r="D32" s="32"/>
      <c r="E32" s="32"/>
      <c r="F32" s="32"/>
      <c r="G32" s="32"/>
      <c r="H32" s="32"/>
      <c r="I32" s="5"/>
    </row>
    <row r="33" spans="1:9" ht="15" x14ac:dyDescent="0.25">
      <c r="A33" s="5" t="s">
        <v>29</v>
      </c>
      <c r="B33" s="32">
        <v>15000</v>
      </c>
      <c r="C33" s="5"/>
      <c r="D33" s="5"/>
      <c r="E33" s="5"/>
      <c r="F33" s="5"/>
      <c r="G33" s="5"/>
      <c r="H33" s="5"/>
      <c r="I33" s="5"/>
    </row>
    <row r="34" spans="1:9" ht="15" x14ac:dyDescent="0.25">
      <c r="A34" s="5"/>
      <c r="B34" s="5"/>
      <c r="C34" s="5"/>
      <c r="D34" s="5"/>
      <c r="E34" s="5"/>
      <c r="F34" s="5"/>
      <c r="G34" s="5"/>
      <c r="H34" s="5"/>
      <c r="I34" s="5"/>
    </row>
  </sheetData>
  <phoneticPr fontId="0" type="noConversion"/>
  <printOptions gridLines="1" gridLinesSet="0"/>
  <pageMargins left="0.25" right="0.2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34"/>
  <sheetViews>
    <sheetView zoomScale="130" zoomScaleNormal="130" workbookViewId="0">
      <selection activeCell="C23" sqref="C23"/>
    </sheetView>
  </sheetViews>
  <sheetFormatPr defaultColWidth="8.85546875" defaultRowHeight="12.75" x14ac:dyDescent="0.2"/>
  <cols>
    <col min="1" max="1" width="21.7109375" customWidth="1"/>
    <col min="2" max="2" width="6.85546875" customWidth="1"/>
    <col min="3" max="3" width="8.42578125" customWidth="1"/>
    <col min="4" max="4" width="8.28515625" customWidth="1"/>
    <col min="8" max="8" width="11.140625" bestFit="1" customWidth="1"/>
    <col min="9" max="9" width="8.7109375" bestFit="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tr">
        <f>'Exh 4-2'!A2</f>
        <v>Cash Budget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2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2">
        <f>'Exh 4-2'!C4</f>
        <v>42826</v>
      </c>
      <c r="D4" s="42">
        <f>'Exh 4-2'!D4</f>
        <v>42856</v>
      </c>
      <c r="E4" s="42">
        <f>'Exh 4-2'!E4</f>
        <v>42887</v>
      </c>
      <c r="F4" s="42">
        <f>'Exh 4-2'!F4</f>
        <v>42917</v>
      </c>
      <c r="G4" s="42">
        <f>'Exh 4-2'!G4</f>
        <v>42948</v>
      </c>
      <c r="H4" s="42">
        <f>'Exh 4-2'!H4</f>
        <v>42979</v>
      </c>
      <c r="I4" s="42">
        <f>'Exh 4-2'!I4</f>
        <v>43009</v>
      </c>
    </row>
    <row r="5" spans="1:9" ht="15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4.5" customHeight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9" ht="15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5" t="s">
        <v>20</v>
      </c>
      <c r="B23" s="6"/>
      <c r="C23" s="23"/>
      <c r="D23" s="23"/>
      <c r="E23" s="7">
        <v>50000</v>
      </c>
      <c r="F23" s="7">
        <v>0</v>
      </c>
      <c r="G23" s="7">
        <v>0</v>
      </c>
      <c r="H23" s="7">
        <v>0</v>
      </c>
      <c r="I23" s="23"/>
    </row>
    <row r="24" spans="1:9" ht="15" x14ac:dyDescent="0.25">
      <c r="A24" s="5" t="s">
        <v>21</v>
      </c>
      <c r="B24" s="6"/>
      <c r="C24" s="23"/>
      <c r="D24" s="23"/>
      <c r="E24" s="7">
        <v>25000</v>
      </c>
      <c r="F24" s="7">
        <v>0</v>
      </c>
      <c r="G24" s="7">
        <v>0</v>
      </c>
      <c r="H24" s="7">
        <v>25000</v>
      </c>
      <c r="I24" s="23"/>
    </row>
    <row r="25" spans="1:9" ht="15" x14ac:dyDescent="0.25">
      <c r="A25" s="5" t="s">
        <v>22</v>
      </c>
      <c r="B25" s="6"/>
      <c r="C25" s="23"/>
      <c r="D25" s="23"/>
      <c r="E25" s="10">
        <v>0</v>
      </c>
      <c r="F25" s="10">
        <v>200000</v>
      </c>
      <c r="G25" s="10">
        <v>0</v>
      </c>
      <c r="H25" s="10">
        <v>0</v>
      </c>
      <c r="I25" s="23"/>
    </row>
    <row r="26" spans="1:9" ht="15.75" thickBot="1" x14ac:dyDescent="0.3">
      <c r="A26" s="24" t="s">
        <v>30</v>
      </c>
      <c r="B26" s="25"/>
      <c r="C26" s="26"/>
      <c r="D26" s="26"/>
      <c r="E26" s="27">
        <f>SUM(E19:E25)</f>
        <v>381500</v>
      </c>
      <c r="F26" s="27">
        <f>SUM(F19:F25)</f>
        <v>451900</v>
      </c>
      <c r="G26" s="27">
        <f>SUM(G19:G25)</f>
        <v>194800</v>
      </c>
      <c r="H26" s="27">
        <f>SUM(H19:H25)</f>
        <v>185100</v>
      </c>
      <c r="I26" s="21"/>
    </row>
    <row r="27" spans="1:9" ht="15" x14ac:dyDescent="0.25">
      <c r="A27" s="5" t="s">
        <v>23</v>
      </c>
      <c r="B27" s="6"/>
      <c r="C27" s="23"/>
      <c r="D27" s="23"/>
      <c r="E27" s="23">
        <f>D31</f>
        <v>20000</v>
      </c>
      <c r="F27" s="23">
        <f>E31</f>
        <v>15000</v>
      </c>
      <c r="G27" s="23">
        <f>F31</f>
        <v>15000</v>
      </c>
      <c r="H27" s="23">
        <f>G31</f>
        <v>121500</v>
      </c>
      <c r="I27" s="23"/>
    </row>
    <row r="28" spans="1:9" ht="15" x14ac:dyDescent="0.25">
      <c r="A28" s="5" t="s">
        <v>24</v>
      </c>
      <c r="B28" s="6"/>
      <c r="C28" s="23"/>
      <c r="D28" s="23"/>
      <c r="E28" s="28">
        <f>E17-E26</f>
        <v>-18800</v>
      </c>
      <c r="F28" s="28">
        <f>F17-F26</f>
        <v>-91400</v>
      </c>
      <c r="G28" s="28">
        <f>G17-G26</f>
        <v>106500</v>
      </c>
      <c r="H28" s="28">
        <f>H17-H26</f>
        <v>29350</v>
      </c>
      <c r="I28" s="23"/>
    </row>
    <row r="29" spans="1:9" ht="15" x14ac:dyDescent="0.25">
      <c r="A29" s="5" t="s">
        <v>25</v>
      </c>
      <c r="B29" s="6"/>
      <c r="C29" s="23"/>
      <c r="D29" s="23"/>
      <c r="E29" s="23">
        <f>SUM(E27:E28)</f>
        <v>1200</v>
      </c>
      <c r="F29" s="23">
        <f>SUM(F27:F28)</f>
        <v>-76400</v>
      </c>
      <c r="G29" s="23">
        <f>SUM(G27:G28)</f>
        <v>121500</v>
      </c>
      <c r="H29" s="23">
        <f>SUM(H27:H28)</f>
        <v>150850</v>
      </c>
      <c r="I29" s="23"/>
    </row>
    <row r="30" spans="1:9" ht="15" x14ac:dyDescent="0.25">
      <c r="A30" s="5" t="s">
        <v>26</v>
      </c>
      <c r="B30" s="6"/>
      <c r="C30" s="28"/>
      <c r="D30" s="28"/>
      <c r="E30" s="28">
        <f>IF(E29&lt;$B33,$B33-E29,0)</f>
        <v>13800</v>
      </c>
      <c r="F30" s="28">
        <f>IF(F29&lt;$B33,$B33-F29,0)</f>
        <v>91400</v>
      </c>
      <c r="G30" s="28">
        <f>IF(G29&lt;$B33,$B33-G29,0)</f>
        <v>0</v>
      </c>
      <c r="H30" s="28">
        <f>IF(H29&lt;$B33,$B33-H29,0)</f>
        <v>0</v>
      </c>
      <c r="I30" s="23"/>
    </row>
    <row r="31" spans="1:9" ht="15.75" thickBot="1" x14ac:dyDescent="0.3">
      <c r="A31" s="29" t="s">
        <v>27</v>
      </c>
      <c r="B31" s="30"/>
      <c r="C31" s="31"/>
      <c r="D31" s="31">
        <v>20000</v>
      </c>
      <c r="E31" s="31">
        <f>SUM(E29:E30)</f>
        <v>15000</v>
      </c>
      <c r="F31" s="31">
        <f>SUM(F29:F30)</f>
        <v>15000</v>
      </c>
      <c r="G31" s="31">
        <f>SUM(G29:G30)</f>
        <v>121500</v>
      </c>
      <c r="H31" s="31">
        <f>SUM(H29:H30)</f>
        <v>150850</v>
      </c>
      <c r="I31" s="23"/>
    </row>
    <row r="32" spans="1:9" ht="15.75" thickTop="1" x14ac:dyDescent="0.25">
      <c r="A32" s="5" t="s">
        <v>28</v>
      </c>
      <c r="B32" s="5"/>
      <c r="C32" s="5"/>
      <c r="D32" s="32"/>
      <c r="E32" s="32"/>
      <c r="F32" s="32"/>
      <c r="G32" s="32"/>
      <c r="H32" s="32"/>
      <c r="I32" s="5"/>
    </row>
    <row r="33" spans="1:9" ht="15" x14ac:dyDescent="0.25">
      <c r="A33" s="5" t="s">
        <v>29</v>
      </c>
      <c r="B33" s="32">
        <f>'Exh 4-2'!B33</f>
        <v>15000</v>
      </c>
      <c r="C33" s="5"/>
      <c r="D33" s="5"/>
      <c r="E33" s="5"/>
      <c r="F33" s="5"/>
      <c r="G33" s="5"/>
      <c r="H33" s="5"/>
      <c r="I33" s="5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</sheetData>
  <phoneticPr fontId="0" type="noConversion"/>
  <printOptions gridLines="1" gridLinesSet="0"/>
  <pageMargins left="0.25" right="0.25" top="1" bottom="1" header="0.5" footer="0.5"/>
  <pageSetup scale="1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J34"/>
  <sheetViews>
    <sheetView zoomScale="130" zoomScaleNormal="130" workbookViewId="0">
      <selection activeCell="J28" sqref="J28"/>
    </sheetView>
  </sheetViews>
  <sheetFormatPr defaultColWidth="8.85546875" defaultRowHeight="12.75" outlineLevelRow="1" x14ac:dyDescent="0.2"/>
  <cols>
    <col min="1" max="1" width="24.85546875" bestFit="1" customWidth="1"/>
    <col min="2" max="2" width="6.42578125" bestFit="1" customWidth="1"/>
    <col min="8" max="8" width="11.140625" bestFit="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tr">
        <f>'Exh 4-2'!A2</f>
        <v>Cash Budget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2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2">
        <f>'Exh 4-2'!C4</f>
        <v>42826</v>
      </c>
      <c r="D4" s="42">
        <f>'Exh 4-2'!D4</f>
        <v>42856</v>
      </c>
      <c r="E4" s="42">
        <f>'Exh 4-2'!E4</f>
        <v>42887</v>
      </c>
      <c r="F4" s="42">
        <f>'Exh 4-2'!F4</f>
        <v>42917</v>
      </c>
      <c r="G4" s="42">
        <f>'Exh 4-2'!G4</f>
        <v>42948</v>
      </c>
      <c r="H4" s="42">
        <f>'Exh 4-2'!H4</f>
        <v>42979</v>
      </c>
      <c r="I4" s="42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6" hidden="1" customHeight="1" outlineLevel="1" thickTop="1" x14ac:dyDescent="0.25">
      <c r="A16" s="15"/>
      <c r="B16" s="16"/>
      <c r="C16" s="17"/>
      <c r="D16" s="17"/>
      <c r="E16" s="17"/>
      <c r="F16" s="17"/>
      <c r="G16" s="17"/>
      <c r="H16" s="17"/>
      <c r="I16" s="7"/>
    </row>
    <row r="17" spans="1:10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10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10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10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10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10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10" ht="15" x14ac:dyDescent="0.25">
      <c r="A23" s="5" t="s">
        <v>20</v>
      </c>
      <c r="B23" s="6"/>
      <c r="C23" s="23"/>
      <c r="D23" s="23"/>
      <c r="E23" s="7">
        <v>50000</v>
      </c>
      <c r="F23" s="7">
        <v>0</v>
      </c>
      <c r="G23" s="7">
        <v>0</v>
      </c>
      <c r="H23" s="7">
        <v>0</v>
      </c>
      <c r="I23" s="23"/>
    </row>
    <row r="24" spans="1:10" ht="15" x14ac:dyDescent="0.25">
      <c r="A24" s="5" t="s">
        <v>21</v>
      </c>
      <c r="B24" s="6"/>
      <c r="C24" s="23"/>
      <c r="D24" s="23"/>
      <c r="E24" s="7">
        <v>25000</v>
      </c>
      <c r="F24" s="7">
        <v>0</v>
      </c>
      <c r="G24" s="7">
        <v>0</v>
      </c>
      <c r="H24" s="7">
        <v>25000</v>
      </c>
      <c r="I24" s="23"/>
    </row>
    <row r="25" spans="1:10" ht="15" x14ac:dyDescent="0.25">
      <c r="A25" s="5" t="s">
        <v>22</v>
      </c>
      <c r="B25" s="6"/>
      <c r="C25" s="23"/>
      <c r="D25" s="23"/>
      <c r="E25" s="10">
        <v>0</v>
      </c>
      <c r="F25" s="10">
        <v>200000</v>
      </c>
      <c r="G25" s="10">
        <v>0</v>
      </c>
      <c r="H25" s="10">
        <v>0</v>
      </c>
      <c r="I25" s="23"/>
    </row>
    <row r="26" spans="1:10" ht="15.75" thickBot="1" x14ac:dyDescent="0.3">
      <c r="A26" s="24" t="s">
        <v>30</v>
      </c>
      <c r="B26" s="25"/>
      <c r="C26" s="26"/>
      <c r="D26" s="26"/>
      <c r="E26" s="27">
        <f>SUM(E19:E25)</f>
        <v>381500</v>
      </c>
      <c r="F26" s="27">
        <f>SUM(F19:F25)</f>
        <v>451900</v>
      </c>
      <c r="G26" s="27">
        <f>SUM(G19:G25)</f>
        <v>194800</v>
      </c>
      <c r="H26" s="27">
        <f>SUM(H19:H25)</f>
        <v>185100</v>
      </c>
      <c r="I26" s="21"/>
    </row>
    <row r="27" spans="1:10" ht="15" x14ac:dyDescent="0.25">
      <c r="A27" s="5" t="s">
        <v>23</v>
      </c>
      <c r="B27" s="6"/>
      <c r="C27" s="23"/>
      <c r="D27" s="23"/>
      <c r="E27" s="23">
        <f>D31</f>
        <v>20000</v>
      </c>
      <c r="F27" s="23">
        <f>E31</f>
        <v>15000</v>
      </c>
      <c r="G27" s="23">
        <f>F31</f>
        <v>15000</v>
      </c>
      <c r="H27" s="23">
        <f>G31</f>
        <v>121500</v>
      </c>
      <c r="I27" s="23"/>
    </row>
    <row r="28" spans="1:10" ht="15" x14ac:dyDescent="0.25">
      <c r="A28" s="5" t="s">
        <v>31</v>
      </c>
      <c r="B28" s="6"/>
      <c r="C28" s="23"/>
      <c r="D28" s="23"/>
      <c r="E28" s="28">
        <f>E17-E26</f>
        <v>-18800</v>
      </c>
      <c r="F28" s="28">
        <f>F17-F26</f>
        <v>-91400</v>
      </c>
      <c r="G28" s="28">
        <f>G17-G26</f>
        <v>106500</v>
      </c>
      <c r="H28" s="28">
        <f>H17-H26</f>
        <v>29350</v>
      </c>
      <c r="I28" s="23"/>
      <c r="J28" s="23" t="str">
        <f>IF(2&gt;3,"FIRST","SECOND")</f>
        <v>SECOND</v>
      </c>
    </row>
    <row r="29" spans="1:10" ht="15" x14ac:dyDescent="0.25">
      <c r="A29" s="5" t="s">
        <v>25</v>
      </c>
      <c r="B29" s="6"/>
      <c r="C29" s="23"/>
      <c r="D29" s="23"/>
      <c r="E29" s="23">
        <f>SUM(E27:E28)</f>
        <v>1200</v>
      </c>
      <c r="F29" s="23">
        <f>SUM(F27:F28)</f>
        <v>-76400</v>
      </c>
      <c r="G29" s="23">
        <f>SUM(G27:G28)</f>
        <v>121500</v>
      </c>
      <c r="H29" s="23">
        <f>SUM(H27:H28)</f>
        <v>150850</v>
      </c>
      <c r="I29" s="23"/>
    </row>
    <row r="30" spans="1:10" ht="15" x14ac:dyDescent="0.25">
      <c r="A30" s="5" t="s">
        <v>26</v>
      </c>
      <c r="B30" s="6"/>
      <c r="C30" s="21"/>
      <c r="D30" s="28"/>
      <c r="E30" s="28">
        <f>IF(E29&gt;$B33,0,$B33-E29)</f>
        <v>13800</v>
      </c>
      <c r="F30" s="28">
        <f t="shared" ref="F30:H30" si="1">IF(F29&gt;$B33,0,$B33-F29)</f>
        <v>91400</v>
      </c>
      <c r="G30" s="28">
        <f t="shared" si="1"/>
        <v>0</v>
      </c>
      <c r="H30" s="28">
        <f t="shared" si="1"/>
        <v>0</v>
      </c>
      <c r="I30" s="23"/>
    </row>
    <row r="31" spans="1:10" ht="15.75" thickBot="1" x14ac:dyDescent="0.3">
      <c r="A31" s="29" t="s">
        <v>27</v>
      </c>
      <c r="B31" s="30"/>
      <c r="C31" s="31"/>
      <c r="D31" s="31">
        <v>20000</v>
      </c>
      <c r="E31" s="31">
        <f>SUM(E29:E30)</f>
        <v>15000</v>
      </c>
      <c r="F31" s="31">
        <f>SUM(F29:F30)</f>
        <v>15000</v>
      </c>
      <c r="G31" s="31">
        <f>SUM(G29:G30)</f>
        <v>121500</v>
      </c>
      <c r="H31" s="31">
        <f>SUM(H29:H30)</f>
        <v>150850</v>
      </c>
      <c r="I31" s="23"/>
    </row>
    <row r="32" spans="1:10" ht="15.75" thickTop="1" x14ac:dyDescent="0.25">
      <c r="A32" s="5" t="s">
        <v>28</v>
      </c>
      <c r="B32" s="5"/>
      <c r="C32" s="5"/>
      <c r="D32" s="32"/>
      <c r="E32" s="32"/>
      <c r="F32" s="32"/>
      <c r="G32" s="32"/>
      <c r="H32" s="32"/>
      <c r="I32" s="5"/>
    </row>
    <row r="33" spans="1:9" ht="15" x14ac:dyDescent="0.25">
      <c r="A33" s="5" t="s">
        <v>29</v>
      </c>
      <c r="B33" s="32">
        <f>'Exh 4-2'!B33</f>
        <v>15000</v>
      </c>
      <c r="C33" s="5"/>
      <c r="D33" s="5"/>
      <c r="E33" s="5"/>
      <c r="F33" s="5"/>
      <c r="G33" s="5"/>
      <c r="H33" s="5"/>
      <c r="I33" s="5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</sheetData>
  <phoneticPr fontId="0" type="noConversion"/>
  <printOptions gridLines="1" gridLinesSet="0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I34"/>
  <sheetViews>
    <sheetView zoomScale="130" zoomScaleNormal="130" workbookViewId="0">
      <pane ySplit="16" topLeftCell="A17" activePane="bottomLeft" state="frozen"/>
      <selection pane="bottomLeft" activeCell="F38" sqref="F38"/>
    </sheetView>
  </sheetViews>
  <sheetFormatPr defaultColWidth="8.85546875" defaultRowHeight="12.75" outlineLevelRow="1" x14ac:dyDescent="0.2"/>
  <cols>
    <col min="1" max="1" width="24.42578125" customWidth="1"/>
    <col min="2" max="2" width="6.42578125" bestFit="1" customWidth="1"/>
    <col min="3" max="4" width="8.28515625" bestFit="1" customWidth="1"/>
    <col min="8" max="8" width="11.140625" bestFit="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2">
        <f>'Exh 4-2'!C4</f>
        <v>42826</v>
      </c>
      <c r="D4" s="42">
        <f>'Exh 4-2'!D4</f>
        <v>42856</v>
      </c>
      <c r="E4" s="42">
        <f>'Exh 4-2'!E4</f>
        <v>42887</v>
      </c>
      <c r="F4" s="42">
        <f>'Exh 4-2'!F4</f>
        <v>42917</v>
      </c>
      <c r="G4" s="42">
        <f>'Exh 4-2'!G4</f>
        <v>42948</v>
      </c>
      <c r="H4" s="42">
        <f>'Exh 4-2'!H4</f>
        <v>42979</v>
      </c>
      <c r="I4" s="42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4.5" hidden="1" customHeight="1" outlineLevel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9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5" t="s">
        <v>20</v>
      </c>
      <c r="B23" s="6"/>
      <c r="C23" s="23"/>
      <c r="D23" s="23"/>
      <c r="E23" s="7">
        <v>50000</v>
      </c>
      <c r="F23" s="7">
        <v>0</v>
      </c>
      <c r="G23" s="7">
        <v>0</v>
      </c>
      <c r="H23" s="7">
        <v>0</v>
      </c>
      <c r="I23" s="23"/>
    </row>
    <row r="24" spans="1:9" ht="15" x14ac:dyDescent="0.25">
      <c r="A24" s="5" t="s">
        <v>21</v>
      </c>
      <c r="B24" s="6"/>
      <c r="C24" s="23"/>
      <c r="D24" s="23"/>
      <c r="E24" s="7">
        <v>25000</v>
      </c>
      <c r="F24" s="7">
        <v>0</v>
      </c>
      <c r="G24" s="7">
        <v>0</v>
      </c>
      <c r="H24" s="7">
        <v>25000</v>
      </c>
      <c r="I24" s="23"/>
    </row>
    <row r="25" spans="1:9" ht="15" x14ac:dyDescent="0.25">
      <c r="A25" s="5" t="s">
        <v>22</v>
      </c>
      <c r="B25" s="6"/>
      <c r="C25" s="23"/>
      <c r="D25" s="23"/>
      <c r="E25" s="10">
        <v>0</v>
      </c>
      <c r="F25" s="10">
        <v>200000</v>
      </c>
      <c r="G25" s="10">
        <v>0</v>
      </c>
      <c r="H25" s="10">
        <v>0</v>
      </c>
      <c r="I25" s="23"/>
    </row>
    <row r="26" spans="1:9" ht="15.75" thickBot="1" x14ac:dyDescent="0.3">
      <c r="A26" s="24" t="s">
        <v>30</v>
      </c>
      <c r="B26" s="25"/>
      <c r="C26" s="26"/>
      <c r="D26" s="26"/>
      <c r="E26" s="27">
        <f>SUM(E19:E25)</f>
        <v>381500</v>
      </c>
      <c r="F26" s="27">
        <f>SUM(F19:F25)</f>
        <v>451900</v>
      </c>
      <c r="G26" s="27">
        <f>SUM(G19:G25)</f>
        <v>194800</v>
      </c>
      <c r="H26" s="27">
        <f>SUM(H19:H25)</f>
        <v>185100</v>
      </c>
      <c r="I26" s="21"/>
    </row>
    <row r="27" spans="1:9" ht="15" x14ac:dyDescent="0.25">
      <c r="A27" s="5" t="s">
        <v>23</v>
      </c>
      <c r="B27" s="6"/>
      <c r="C27" s="23"/>
      <c r="D27" s="23"/>
      <c r="E27" s="23">
        <f>D31</f>
        <v>20000</v>
      </c>
      <c r="F27" s="23">
        <f>E31</f>
        <v>15000</v>
      </c>
      <c r="G27" s="23">
        <f>F31</f>
        <v>15000</v>
      </c>
      <c r="H27" s="23">
        <f>G31</f>
        <v>121500</v>
      </c>
      <c r="I27" s="23"/>
    </row>
    <row r="28" spans="1:9" ht="15" x14ac:dyDescent="0.25">
      <c r="A28" s="5" t="s">
        <v>31</v>
      </c>
      <c r="B28" s="6"/>
      <c r="C28" s="23"/>
      <c r="D28" s="23"/>
      <c r="E28" s="28">
        <f>E17-E26</f>
        <v>-18800</v>
      </c>
      <c r="F28" s="28">
        <f>F17-F26</f>
        <v>-91400</v>
      </c>
      <c r="G28" s="28">
        <f>G17-G26</f>
        <v>106500</v>
      </c>
      <c r="H28" s="28">
        <f>H17-H26</f>
        <v>29350</v>
      </c>
      <c r="I28" s="23"/>
    </row>
    <row r="29" spans="1:9" ht="15" x14ac:dyDescent="0.25">
      <c r="A29" s="5" t="s">
        <v>25</v>
      </c>
      <c r="B29" s="6"/>
      <c r="C29" s="23"/>
      <c r="D29" s="23"/>
      <c r="E29" s="23">
        <f>SUM(E27:E28)</f>
        <v>1200</v>
      </c>
      <c r="F29" s="23">
        <f>SUM(F27:F28)</f>
        <v>-76400</v>
      </c>
      <c r="G29" s="23">
        <f>SUM(G27:G28)</f>
        <v>121500</v>
      </c>
      <c r="H29" s="23">
        <f>SUM(H27:H28)</f>
        <v>150850</v>
      </c>
      <c r="I29" s="23"/>
    </row>
    <row r="30" spans="1:9" ht="15" x14ac:dyDescent="0.25">
      <c r="A30" s="5" t="s">
        <v>26</v>
      </c>
      <c r="B30" s="6"/>
      <c r="C30" s="28"/>
      <c r="D30" s="28"/>
      <c r="E30" s="28">
        <f>IF(E29&lt;=$B33,$B33-E29,0)</f>
        <v>13800</v>
      </c>
      <c r="F30" s="28">
        <f t="shared" ref="F30:H30" si="1">IF(F29&lt;=$B33,$B33-F29,0)</f>
        <v>91400</v>
      </c>
      <c r="G30" s="28">
        <f t="shared" si="1"/>
        <v>0</v>
      </c>
      <c r="H30" s="28">
        <f t="shared" si="1"/>
        <v>0</v>
      </c>
      <c r="I30" s="23"/>
    </row>
    <row r="31" spans="1:9" ht="15.75" thickBot="1" x14ac:dyDescent="0.3">
      <c r="A31" s="29" t="s">
        <v>27</v>
      </c>
      <c r="B31" s="30"/>
      <c r="C31" s="31"/>
      <c r="D31" s="31">
        <v>20000</v>
      </c>
      <c r="E31" s="31">
        <f>SUM(E29:E30)</f>
        <v>15000</v>
      </c>
      <c r="F31" s="31">
        <f>SUM(F29:F30)</f>
        <v>15000</v>
      </c>
      <c r="G31" s="31">
        <f>SUM(G29:G30)</f>
        <v>121500</v>
      </c>
      <c r="H31" s="31">
        <f>SUM(H29:H30)</f>
        <v>150850</v>
      </c>
      <c r="I31" s="23"/>
    </row>
    <row r="32" spans="1:9" ht="15.75" thickTop="1" x14ac:dyDescent="0.25">
      <c r="A32" s="5" t="s">
        <v>28</v>
      </c>
      <c r="B32" s="5"/>
      <c r="C32" s="5"/>
      <c r="D32" s="32"/>
      <c r="E32" s="32"/>
      <c r="F32" s="32"/>
      <c r="G32" s="32"/>
      <c r="H32" s="32"/>
      <c r="I32" s="5"/>
    </row>
    <row r="33" spans="1:9" ht="15" x14ac:dyDescent="0.25">
      <c r="A33" s="5" t="s">
        <v>29</v>
      </c>
      <c r="B33" s="32">
        <f>'Exh 4-2'!B33</f>
        <v>15000</v>
      </c>
      <c r="C33" s="5"/>
      <c r="D33" s="5"/>
      <c r="E33" s="5"/>
      <c r="F33" s="5"/>
      <c r="G33" s="5"/>
      <c r="H33" s="5"/>
      <c r="I33" s="5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</sheetData>
  <phoneticPr fontId="0" type="noConversion"/>
  <printOptions gridLines="1" gridLinesSet="0"/>
  <pageMargins left="0.25" right="0.2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J35"/>
  <sheetViews>
    <sheetView zoomScale="150" zoomScaleNormal="150" workbookViewId="0">
      <pane ySplit="16" topLeftCell="A17" activePane="bottomLeft" state="frozen"/>
      <selection pane="bottomLeft" activeCell="E24" sqref="E24"/>
    </sheetView>
  </sheetViews>
  <sheetFormatPr defaultColWidth="8.85546875" defaultRowHeight="12.75" outlineLevelRow="1" x14ac:dyDescent="0.2"/>
  <cols>
    <col min="1" max="1" width="24.42578125" customWidth="1"/>
    <col min="2" max="2" width="6.42578125" customWidth="1"/>
    <col min="3" max="3" width="8.28515625" bestFit="1" customWidth="1"/>
    <col min="4" max="4" width="8.28515625" customWidth="1"/>
    <col min="8" max="8" width="11.140625" bestFit="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tr">
        <f>'Exh 4-2'!A2</f>
        <v>Cash Budget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3">
        <f>'Exh 4-2'!C4</f>
        <v>42826</v>
      </c>
      <c r="D4" s="43">
        <f>'Exh 4-2'!D4</f>
        <v>42856</v>
      </c>
      <c r="E4" s="43">
        <f>'Exh 4-2'!E4</f>
        <v>42887</v>
      </c>
      <c r="F4" s="43">
        <f>'Exh 4-2'!F4</f>
        <v>42917</v>
      </c>
      <c r="G4" s="43">
        <f>'Exh 4-2'!G4</f>
        <v>42948</v>
      </c>
      <c r="H4" s="43">
        <f>'Exh 4-2'!H4</f>
        <v>42979</v>
      </c>
      <c r="I4" s="43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18" hidden="1" customHeight="1" outlineLevel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10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10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10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10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10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10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10" ht="15" x14ac:dyDescent="0.25">
      <c r="A23" s="5" t="s">
        <v>20</v>
      </c>
      <c r="B23" s="6"/>
      <c r="C23" s="23"/>
      <c r="D23" s="23"/>
      <c r="E23" s="7">
        <v>50000</v>
      </c>
      <c r="F23" s="7">
        <v>0</v>
      </c>
      <c r="G23" s="7">
        <v>0</v>
      </c>
      <c r="H23" s="7">
        <v>0</v>
      </c>
      <c r="I23" s="23"/>
    </row>
    <row r="24" spans="1:10" ht="15" x14ac:dyDescent="0.25">
      <c r="A24" s="5" t="s">
        <v>21</v>
      </c>
      <c r="B24" s="6"/>
      <c r="C24" s="23"/>
      <c r="D24" s="23"/>
      <c r="E24" s="7">
        <v>25000</v>
      </c>
      <c r="F24" s="7">
        <v>0</v>
      </c>
      <c r="G24" s="7">
        <v>0</v>
      </c>
      <c r="H24" s="7">
        <v>25000</v>
      </c>
      <c r="I24" s="23"/>
    </row>
    <row r="25" spans="1:10" ht="15" x14ac:dyDescent="0.25">
      <c r="A25" s="5" t="s">
        <v>22</v>
      </c>
      <c r="B25" s="6"/>
      <c r="C25" s="23"/>
      <c r="D25" s="23"/>
      <c r="E25" s="10">
        <v>0</v>
      </c>
      <c r="F25" s="10">
        <v>200000</v>
      </c>
      <c r="G25" s="10">
        <v>0</v>
      </c>
      <c r="H25" s="10">
        <v>0</v>
      </c>
      <c r="I25" s="23"/>
    </row>
    <row r="26" spans="1:10" ht="15.75" thickBot="1" x14ac:dyDescent="0.3">
      <c r="A26" s="24" t="s">
        <v>30</v>
      </c>
      <c r="B26" s="25"/>
      <c r="C26" s="26"/>
      <c r="D26" s="26"/>
      <c r="E26" s="27">
        <f>SUM(E19:E25)</f>
        <v>381500</v>
      </c>
      <c r="F26" s="27">
        <f>SUM(F19:F25)</f>
        <v>451900</v>
      </c>
      <c r="G26" s="27">
        <f>SUM(G19:G25)</f>
        <v>194800</v>
      </c>
      <c r="H26" s="27">
        <f>SUM(H19:H25)</f>
        <v>185100</v>
      </c>
      <c r="I26" s="21"/>
    </row>
    <row r="27" spans="1:10" ht="15" x14ac:dyDescent="0.25">
      <c r="A27" s="5" t="s">
        <v>23</v>
      </c>
      <c r="B27" s="6"/>
      <c r="C27" s="23"/>
      <c r="D27" s="23"/>
      <c r="E27" s="23">
        <f>D31</f>
        <v>20000</v>
      </c>
      <c r="F27" s="23">
        <f>E31</f>
        <v>15000</v>
      </c>
      <c r="G27" s="23">
        <f>F31</f>
        <v>15000</v>
      </c>
      <c r="H27" s="23">
        <f>G31</f>
        <v>121500</v>
      </c>
      <c r="I27" s="23"/>
    </row>
    <row r="28" spans="1:10" ht="15" x14ac:dyDescent="0.25">
      <c r="A28" s="5" t="s">
        <v>31</v>
      </c>
      <c r="B28" s="6"/>
      <c r="C28" s="23"/>
      <c r="D28" s="23"/>
      <c r="E28" s="28">
        <f>E17-E26</f>
        <v>-18800</v>
      </c>
      <c r="F28" s="28">
        <f>F17-F26</f>
        <v>-91400</v>
      </c>
      <c r="G28" s="28">
        <f>G17-G26</f>
        <v>106500</v>
      </c>
      <c r="H28" s="28">
        <f>H17-H26</f>
        <v>29350</v>
      </c>
      <c r="I28" s="23"/>
    </row>
    <row r="29" spans="1:10" ht="15" x14ac:dyDescent="0.25">
      <c r="A29" s="5" t="s">
        <v>25</v>
      </c>
      <c r="B29" s="6"/>
      <c r="C29" s="23"/>
      <c r="D29" s="23"/>
      <c r="E29" s="23">
        <f>SUM(E27:E28)</f>
        <v>1200</v>
      </c>
      <c r="F29" s="23">
        <f>SUM(F27:F28)</f>
        <v>-76400</v>
      </c>
      <c r="G29" s="23">
        <f>SUM(G27:G28)</f>
        <v>121500</v>
      </c>
      <c r="H29" s="23">
        <f>SUM(H27:H28)</f>
        <v>150850</v>
      </c>
      <c r="I29" s="23"/>
    </row>
    <row r="30" spans="1:10" ht="15" x14ac:dyDescent="0.25">
      <c r="A30" s="5" t="s">
        <v>26</v>
      </c>
      <c r="B30" s="6"/>
      <c r="C30" s="28"/>
      <c r="D30" s="28"/>
      <c r="E30" s="28">
        <f>IF(E29&lt;=$B34,$B34-E29,0)</f>
        <v>13800</v>
      </c>
      <c r="F30" s="28">
        <f t="shared" ref="F30:H30" si="1">IF(F29&lt;=$B34,$B34-F29,0)</f>
        <v>91400</v>
      </c>
      <c r="G30" s="28">
        <f t="shared" si="1"/>
        <v>0</v>
      </c>
      <c r="H30" s="28">
        <f t="shared" si="1"/>
        <v>0</v>
      </c>
    </row>
    <row r="31" spans="1:10" ht="15.75" thickBot="1" x14ac:dyDescent="0.3">
      <c r="A31" s="29" t="s">
        <v>27</v>
      </c>
      <c r="B31" s="30"/>
      <c r="C31" s="31"/>
      <c r="D31" s="31">
        <v>20000</v>
      </c>
      <c r="E31" s="31">
        <f>SUM(E29:E30)</f>
        <v>15000</v>
      </c>
      <c r="F31" s="31">
        <f>SUM(F29:F30)</f>
        <v>15000</v>
      </c>
      <c r="G31" s="31">
        <f>SUM(G29:G30)</f>
        <v>121500</v>
      </c>
      <c r="H31" s="31">
        <f>SUM(H29:H30)</f>
        <v>150850</v>
      </c>
      <c r="I31" s="23"/>
    </row>
    <row r="32" spans="1:10" ht="15.75" thickTop="1" x14ac:dyDescent="0.25">
      <c r="A32" s="33" t="s">
        <v>51</v>
      </c>
      <c r="B32" s="48"/>
      <c r="C32" s="21"/>
      <c r="D32" s="21">
        <f>C32+D30</f>
        <v>0</v>
      </c>
      <c r="E32" s="21">
        <f>D32+E30</f>
        <v>13800</v>
      </c>
      <c r="F32" s="21">
        <f>E32+F30</f>
        <v>105200</v>
      </c>
      <c r="G32" s="21">
        <f>F32+G30</f>
        <v>105200</v>
      </c>
      <c r="H32" s="21">
        <f>G32+H30</f>
        <v>105200</v>
      </c>
      <c r="I32" s="23"/>
      <c r="J32" s="23">
        <f>MAX(D32:H32)</f>
        <v>105200</v>
      </c>
    </row>
    <row r="33" spans="1:9" ht="15" x14ac:dyDescent="0.25">
      <c r="A33" s="5" t="s">
        <v>28</v>
      </c>
      <c r="B33" s="5"/>
      <c r="C33" s="5"/>
      <c r="D33" s="32"/>
      <c r="E33" s="32"/>
      <c r="F33" s="32"/>
      <c r="G33" s="32"/>
      <c r="H33" s="32"/>
      <c r="I33" s="5"/>
    </row>
    <row r="34" spans="1:9" ht="15" x14ac:dyDescent="0.25">
      <c r="A34" s="5" t="s">
        <v>29</v>
      </c>
      <c r="B34" s="32">
        <f>'Exh 4-2'!B33</f>
        <v>15000</v>
      </c>
      <c r="C34" s="5"/>
      <c r="D34" s="5"/>
      <c r="E34" s="5"/>
      <c r="F34" s="5"/>
      <c r="G34" s="49"/>
      <c r="H34" s="5"/>
      <c r="I34" s="5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</sheetData>
  <scenarios current="3" show="3" sqref="J32">
    <scenario name="Expenditure in July" locked="1" count="4" user="Timothy R. Mayes, Ph.D." comment="Created by Timothy R. Mayes, Ph.D. on 2/4/2014">
      <inputCells r="E25" val="0" numFmtId="37"/>
      <inputCells r="F25" val="200000" numFmtId="37"/>
      <inputCells r="G25" val="0" numFmtId="37"/>
      <inputCells r="H25" undone="1" val="0" numFmtId="37"/>
    </scenario>
    <scenario name="Expenditure in August" locked="1" count="4" user="Timothy R. Mayes, Ph.D." comment="Created by Timothy R. Mayes, Ph.D. on 2/4/2014">
      <inputCells r="E25" val="0" numFmtId="37"/>
      <inputCells r="F25" val="0" numFmtId="37"/>
      <inputCells r="G25" val="200000" numFmtId="37"/>
      <inputCells r="H25" undone="1" val="0" numFmtId="37"/>
    </scenario>
    <scenario name="Expenditure in September" locked="1" count="4" user="Timothy R. Mayes, Ph.D." comment="Created by Timothy R. Mayes, Ph.D. on 7/15/2016">
      <inputCells r="E25" val="0" numFmtId="37"/>
      <inputCells r="F25" val="0" numFmtId="37"/>
      <inputCells r="G25" val="0" numFmtId="37"/>
      <inputCells r="H25" undone="1" val="200000" numFmtId="37"/>
    </scenario>
    <scenario name="Expenditure in June" locked="1" count="4" user="Microsoft Office User" comment="Modified by Microsoft Brian Yang">
      <inputCells r="E25" val="200000" numFmtId="37"/>
      <inputCells r="F25" val="0" numFmtId="37"/>
      <inputCells r="G25" val="0" numFmtId="37"/>
      <inputCells r="H25" undone="1" val="0" numFmtId="37"/>
    </scenario>
  </scenarios>
  <phoneticPr fontId="0" type="noConversion"/>
  <printOptions gridLines="1" gridLinesSet="0"/>
  <pageMargins left="0.25" right="0.25" top="1" bottom="1" header="0.5" footer="0.5"/>
  <pageSetup scale="1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B1:H14"/>
  <sheetViews>
    <sheetView showGridLines="0" zoomScale="130" zoomScaleNormal="130" workbookViewId="0">
      <selection activeCell="E27" sqref="E27"/>
    </sheetView>
  </sheetViews>
  <sheetFormatPr defaultColWidth="8.85546875" defaultRowHeight="12.75" outlineLevelRow="1" outlineLevelCol="1" x14ac:dyDescent="0.2"/>
  <cols>
    <col min="1" max="1" width="2.85546875" customWidth="1"/>
    <col min="3" max="3" width="14.28515625" bestFit="1" customWidth="1"/>
    <col min="4" max="4" width="9.7109375" customWidth="1" outlineLevel="1"/>
    <col min="5" max="5" width="10.28515625" customWidth="1" outlineLevel="1"/>
    <col min="6" max="6" width="9.85546875" customWidth="1" outlineLevel="1"/>
    <col min="7" max="7" width="10.140625" customWidth="1" outlineLevel="1"/>
    <col min="8" max="8" width="10.42578125" customWidth="1" outlineLevel="1"/>
  </cols>
  <sheetData>
    <row r="1" spans="2:8" ht="13.5" thickBot="1" x14ac:dyDescent="0.25"/>
    <row r="2" spans="2:8" ht="15" x14ac:dyDescent="0.25">
      <c r="B2" s="52" t="s">
        <v>42</v>
      </c>
      <c r="C2" s="52"/>
      <c r="D2" s="50"/>
      <c r="E2" s="50"/>
      <c r="F2" s="50"/>
      <c r="G2" s="50"/>
      <c r="H2" s="50"/>
    </row>
    <row r="3" spans="2:8" ht="27.6" customHeight="1" collapsed="1" x14ac:dyDescent="0.25">
      <c r="B3" s="51"/>
      <c r="C3" s="51"/>
      <c r="D3" s="44" t="s">
        <v>44</v>
      </c>
      <c r="E3" s="44" t="s">
        <v>38</v>
      </c>
      <c r="F3" s="44" t="s">
        <v>39</v>
      </c>
      <c r="G3" s="44" t="s">
        <v>40</v>
      </c>
      <c r="H3" s="44" t="s">
        <v>41</v>
      </c>
    </row>
    <row r="4" spans="2:8" ht="56.25" hidden="1" outlineLevel="1" x14ac:dyDescent="0.2">
      <c r="B4" s="53"/>
      <c r="C4" s="53"/>
      <c r="D4" s="45"/>
      <c r="E4" s="47" t="s">
        <v>54</v>
      </c>
      <c r="F4" s="47" t="s">
        <v>55</v>
      </c>
      <c r="G4" s="47" t="s">
        <v>55</v>
      </c>
      <c r="H4" s="47" t="s">
        <v>54</v>
      </c>
    </row>
    <row r="5" spans="2:8" x14ac:dyDescent="0.2">
      <c r="B5" s="54" t="s">
        <v>43</v>
      </c>
      <c r="C5" s="54"/>
      <c r="D5" s="41"/>
      <c r="E5" s="41"/>
      <c r="F5" s="41"/>
      <c r="G5" s="41"/>
      <c r="H5" s="41"/>
    </row>
    <row r="6" spans="2:8" outlineLevel="1" x14ac:dyDescent="0.2">
      <c r="B6" s="53"/>
      <c r="C6" s="53" t="s">
        <v>1</v>
      </c>
      <c r="D6" s="39">
        <v>0</v>
      </c>
      <c r="E6" s="46">
        <v>200000</v>
      </c>
      <c r="F6" s="46">
        <v>0</v>
      </c>
      <c r="G6" s="46">
        <v>0</v>
      </c>
      <c r="H6" s="46">
        <v>0</v>
      </c>
    </row>
    <row r="7" spans="2:8" outlineLevel="1" x14ac:dyDescent="0.2">
      <c r="B7" s="53"/>
      <c r="C7" s="53" t="s">
        <v>2</v>
      </c>
      <c r="D7" s="39">
        <v>200000</v>
      </c>
      <c r="E7" s="46">
        <v>0</v>
      </c>
      <c r="F7" s="46">
        <v>200000</v>
      </c>
      <c r="G7" s="46">
        <v>0</v>
      </c>
      <c r="H7" s="46">
        <v>0</v>
      </c>
    </row>
    <row r="8" spans="2:8" outlineLevel="1" x14ac:dyDescent="0.2">
      <c r="B8" s="53"/>
      <c r="C8" s="53" t="s">
        <v>3</v>
      </c>
      <c r="D8" s="39">
        <v>0</v>
      </c>
      <c r="E8" s="46">
        <v>0</v>
      </c>
      <c r="F8" s="46">
        <v>0</v>
      </c>
      <c r="G8" s="46">
        <v>200000</v>
      </c>
      <c r="H8" s="46">
        <v>0</v>
      </c>
    </row>
    <row r="9" spans="2:8" outlineLevel="1" x14ac:dyDescent="0.2">
      <c r="B9" s="53"/>
      <c r="C9" s="53" t="s">
        <v>4</v>
      </c>
      <c r="D9" s="39">
        <v>0</v>
      </c>
      <c r="E9" s="46">
        <v>0</v>
      </c>
      <c r="F9" s="46">
        <v>0</v>
      </c>
      <c r="G9" s="46">
        <v>0</v>
      </c>
      <c r="H9" s="46">
        <v>200000</v>
      </c>
    </row>
    <row r="10" spans="2:8" x14ac:dyDescent="0.2">
      <c r="B10" s="54" t="s">
        <v>45</v>
      </c>
      <c r="C10" s="54"/>
      <c r="D10" s="41"/>
      <c r="E10" s="41"/>
      <c r="F10" s="41"/>
      <c r="G10" s="41"/>
      <c r="H10" s="41"/>
    </row>
    <row r="11" spans="2:8" ht="13.5" outlineLevel="1" thickBot="1" x14ac:dyDescent="0.25">
      <c r="B11" s="55"/>
      <c r="C11" s="55" t="s">
        <v>52</v>
      </c>
      <c r="D11" s="40">
        <v>105200</v>
      </c>
      <c r="E11" s="40">
        <v>213800</v>
      </c>
      <c r="F11" s="40">
        <v>105200</v>
      </c>
      <c r="G11" s="40">
        <v>13800</v>
      </c>
      <c r="H11" s="40">
        <v>13800</v>
      </c>
    </row>
    <row r="12" spans="2:8" x14ac:dyDescent="0.2">
      <c r="B12" t="s">
        <v>46</v>
      </c>
    </row>
    <row r="13" spans="2:8" x14ac:dyDescent="0.2">
      <c r="B13" t="s">
        <v>47</v>
      </c>
    </row>
    <row r="14" spans="2:8" x14ac:dyDescent="0.2">
      <c r="B14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46"/>
  <sheetViews>
    <sheetView zoomScale="130" zoomScaleNormal="130" workbookViewId="0">
      <pane ySplit="4" topLeftCell="A5" activePane="bottomLeft" state="frozen"/>
      <selection pane="bottomLeft" activeCell="F31" sqref="F31"/>
    </sheetView>
  </sheetViews>
  <sheetFormatPr defaultColWidth="8.85546875" defaultRowHeight="12.75" outlineLevelRow="1" x14ac:dyDescent="0.2"/>
  <cols>
    <col min="1" max="1" width="32.42578125" bestFit="1" customWidth="1"/>
    <col min="2" max="2" width="6.42578125" bestFit="1" customWidth="1"/>
    <col min="3" max="3" width="8" customWidth="1"/>
    <col min="4" max="4" width="7.7109375" customWidth="1"/>
    <col min="8" max="8" width="1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3">
        <f>'Exh 4-2'!C4</f>
        <v>42826</v>
      </c>
      <c r="D4" s="43">
        <f>'Exh 4-2'!D4</f>
        <v>42856</v>
      </c>
      <c r="E4" s="43">
        <f>'Exh 4-2'!E4</f>
        <v>42887</v>
      </c>
      <c r="F4" s="43">
        <f>'Exh 4-2'!F4</f>
        <v>42917</v>
      </c>
      <c r="G4" s="43">
        <f>'Exh 4-2'!G4</f>
        <v>42948</v>
      </c>
      <c r="H4" s="43">
        <f>'Exh 4-2'!H4</f>
        <v>42979</v>
      </c>
      <c r="I4" s="43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5.85" hidden="1" customHeight="1" outlineLevel="1" thickTop="1" x14ac:dyDescent="0.25">
      <c r="I16" s="21"/>
    </row>
    <row r="17" spans="1:9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35" t="s">
        <v>37</v>
      </c>
      <c r="B23" s="6"/>
      <c r="C23" s="23"/>
      <c r="D23" s="23"/>
      <c r="E23" s="7">
        <f t="shared" ref="E23:H23" si="1">D34*$D$39</f>
        <v>0</v>
      </c>
      <c r="F23" s="7">
        <f>E34*$D$39</f>
        <v>92</v>
      </c>
      <c r="G23" s="7">
        <f t="shared" ref="G23:H23" si="2">F34*$D$39</f>
        <v>701.94666666666672</v>
      </c>
      <c r="H23" s="7">
        <f t="shared" si="2"/>
        <v>0</v>
      </c>
      <c r="I23" s="23"/>
    </row>
    <row r="24" spans="1:9" ht="15" x14ac:dyDescent="0.25">
      <c r="A24" s="5" t="s">
        <v>20</v>
      </c>
      <c r="B24" s="6"/>
      <c r="C24" s="23"/>
      <c r="D24" s="23"/>
      <c r="E24" s="7">
        <v>50000</v>
      </c>
      <c r="F24" s="7">
        <v>0</v>
      </c>
      <c r="G24" s="7">
        <v>0</v>
      </c>
      <c r="H24" s="7">
        <v>0</v>
      </c>
      <c r="I24" s="23"/>
    </row>
    <row r="25" spans="1:9" ht="15" x14ac:dyDescent="0.25">
      <c r="A25" s="5" t="s">
        <v>21</v>
      </c>
      <c r="B25" s="6"/>
      <c r="C25" s="23"/>
      <c r="D25" s="23"/>
      <c r="E25" s="7">
        <v>25000</v>
      </c>
      <c r="F25" s="7">
        <v>0</v>
      </c>
      <c r="G25" s="7">
        <v>0</v>
      </c>
      <c r="H25" s="7">
        <v>25000</v>
      </c>
      <c r="I25" s="23"/>
    </row>
    <row r="26" spans="1:9" ht="15" x14ac:dyDescent="0.25">
      <c r="A26" s="5" t="s">
        <v>22</v>
      </c>
      <c r="B26" s="6"/>
      <c r="C26" s="23"/>
      <c r="D26" s="23"/>
      <c r="E26" s="10">
        <v>0</v>
      </c>
      <c r="F26" s="10">
        <v>200000</v>
      </c>
      <c r="G26" s="10">
        <v>0</v>
      </c>
      <c r="H26" s="10">
        <v>0</v>
      </c>
      <c r="I26" s="23"/>
    </row>
    <row r="27" spans="1:9" ht="15.75" thickBot="1" x14ac:dyDescent="0.3">
      <c r="A27" s="24" t="s">
        <v>30</v>
      </c>
      <c r="B27" s="25"/>
      <c r="C27" s="26"/>
      <c r="D27" s="26"/>
      <c r="E27" s="27">
        <f>SUM(E19:E26)</f>
        <v>381500</v>
      </c>
      <c r="F27" s="27">
        <f>SUM(F19:F26)</f>
        <v>451992</v>
      </c>
      <c r="G27" s="27">
        <f>SUM(G19:G26)</f>
        <v>195501.94666666666</v>
      </c>
      <c r="H27" s="27">
        <f>SUM(H19:H26)</f>
        <v>185100</v>
      </c>
      <c r="I27" s="21"/>
    </row>
    <row r="28" spans="1:9" ht="15" x14ac:dyDescent="0.25">
      <c r="A28" s="5" t="s">
        <v>23</v>
      </c>
      <c r="B28" s="6"/>
      <c r="C28" s="23"/>
      <c r="D28" s="23"/>
      <c r="E28" s="23">
        <f>D33</f>
        <v>20000</v>
      </c>
      <c r="F28" s="23">
        <f>E33</f>
        <v>15000</v>
      </c>
      <c r="G28" s="23">
        <f>F33</f>
        <v>15000</v>
      </c>
      <c r="H28" s="23">
        <f>G33</f>
        <v>15506.053333333344</v>
      </c>
      <c r="I28" s="23"/>
    </row>
    <row r="29" spans="1:9" ht="15" x14ac:dyDescent="0.25">
      <c r="A29" s="5" t="s">
        <v>31</v>
      </c>
      <c r="B29" s="6"/>
      <c r="C29" s="23"/>
      <c r="D29" s="23"/>
      <c r="E29" s="28">
        <f>E17-E27</f>
        <v>-18800</v>
      </c>
      <c r="F29" s="28">
        <f>F17-F27</f>
        <v>-91492</v>
      </c>
      <c r="G29" s="28">
        <f>G17-G27</f>
        <v>105798.05333333334</v>
      </c>
      <c r="H29" s="28">
        <f>H17-H27</f>
        <v>29350</v>
      </c>
      <c r="I29" s="23"/>
    </row>
    <row r="30" spans="1:9" ht="15" x14ac:dyDescent="0.25">
      <c r="A30" s="5" t="s">
        <v>25</v>
      </c>
      <c r="B30" s="6"/>
      <c r="C30" s="23"/>
      <c r="D30" s="23"/>
      <c r="E30" s="23">
        <f>SUM(E28:E29)</f>
        <v>1200</v>
      </c>
      <c r="F30" s="23">
        <f>SUM(F28:F29)</f>
        <v>-76492</v>
      </c>
      <c r="G30" s="23">
        <f>SUM(G28:G29)</f>
        <v>120798.05333333334</v>
      </c>
      <c r="H30" s="23">
        <f>SUM(H28:H29)</f>
        <v>44856.053333333344</v>
      </c>
      <c r="I30" s="23"/>
    </row>
    <row r="31" spans="1:9" ht="15" x14ac:dyDescent="0.25">
      <c r="A31" s="5" t="s">
        <v>26</v>
      </c>
      <c r="B31" s="6"/>
      <c r="C31" s="21"/>
      <c r="D31" s="21"/>
      <c r="E31" s="21">
        <f>IF(E30&lt;$B37,$B37-E30,-MIN(D34,E30-$B$37))</f>
        <v>13800</v>
      </c>
      <c r="F31" s="21">
        <f t="shared" ref="F31:H31" si="3">IF(F30&lt;$B37,$B37-F30,-MIN(E34,F30-$B$37))</f>
        <v>91492</v>
      </c>
      <c r="G31" s="21">
        <f t="shared" si="3"/>
        <v>-105292</v>
      </c>
      <c r="H31" s="21">
        <f t="shared" si="3"/>
        <v>0</v>
      </c>
      <c r="I31" s="23"/>
    </row>
    <row r="32" spans="1:9" ht="15" x14ac:dyDescent="0.25">
      <c r="A32" s="5" t="s">
        <v>32</v>
      </c>
      <c r="B32" s="6"/>
      <c r="C32" s="21"/>
      <c r="D32" s="28"/>
      <c r="E32" s="28"/>
      <c r="F32" s="28"/>
      <c r="G32" s="28"/>
      <c r="H32" s="28"/>
      <c r="I32" s="23"/>
    </row>
    <row r="33" spans="1:9" ht="15.75" thickBot="1" x14ac:dyDescent="0.3">
      <c r="A33" s="29" t="s">
        <v>27</v>
      </c>
      <c r="B33" s="30"/>
      <c r="C33" s="31"/>
      <c r="D33" s="31">
        <v>20000</v>
      </c>
      <c r="E33" s="31">
        <f>SUM(E30:E31)</f>
        <v>15000</v>
      </c>
      <c r="F33" s="31">
        <f>SUM(F30:F31)</f>
        <v>15000</v>
      </c>
      <c r="G33" s="31">
        <f>SUM(G30:G31)</f>
        <v>15506.053333333344</v>
      </c>
      <c r="H33" s="31">
        <f>SUM(H30:H31)</f>
        <v>44856.053333333344</v>
      </c>
      <c r="I33" s="23"/>
    </row>
    <row r="34" spans="1:9" ht="15.75" thickTop="1" x14ac:dyDescent="0.25">
      <c r="A34" s="33" t="s">
        <v>50</v>
      </c>
      <c r="B34" s="34"/>
      <c r="C34" s="21"/>
      <c r="D34" s="21">
        <f>C34+D31-D32</f>
        <v>0</v>
      </c>
      <c r="E34" s="21">
        <f>D34+E31-E32</f>
        <v>13800</v>
      </c>
      <c r="F34" s="21">
        <f>E34+F31-F32</f>
        <v>105292</v>
      </c>
      <c r="G34" s="21">
        <f>F34+G31-G32</f>
        <v>0</v>
      </c>
      <c r="H34" s="21">
        <f>G34+H31-H32</f>
        <v>0</v>
      </c>
      <c r="I34" s="23"/>
    </row>
    <row r="35" spans="1:9" ht="15" x14ac:dyDescent="0.25">
      <c r="A35" s="33" t="s">
        <v>49</v>
      </c>
      <c r="B35" s="34"/>
      <c r="C35" s="21"/>
      <c r="D35" s="21"/>
      <c r="E35" s="21">
        <f>D35+E23</f>
        <v>0</v>
      </c>
      <c r="F35" s="21">
        <f t="shared" ref="F35:H35" si="4">E35+F23</f>
        <v>92</v>
      </c>
      <c r="G35" s="21">
        <f t="shared" si="4"/>
        <v>793.94666666666672</v>
      </c>
      <c r="H35" s="21">
        <f t="shared" si="4"/>
        <v>793.94666666666672</v>
      </c>
      <c r="I35" s="23"/>
    </row>
    <row r="36" spans="1:9" ht="15" x14ac:dyDescent="0.25">
      <c r="A36" s="5" t="s">
        <v>28</v>
      </c>
      <c r="B36" s="5"/>
      <c r="C36" s="5"/>
      <c r="D36" s="32"/>
      <c r="E36" s="32"/>
      <c r="F36" s="32"/>
      <c r="G36" s="32"/>
      <c r="H36" s="32"/>
      <c r="I36" s="5"/>
    </row>
    <row r="37" spans="1:9" ht="15" x14ac:dyDescent="0.25">
      <c r="A37" s="5" t="s">
        <v>29</v>
      </c>
      <c r="B37" s="32">
        <f>'Exh 4-2'!B33</f>
        <v>15000</v>
      </c>
      <c r="C37" s="5"/>
      <c r="D37" s="5"/>
      <c r="E37" s="5"/>
      <c r="F37" s="5"/>
      <c r="G37" s="5"/>
      <c r="H37" s="5"/>
      <c r="I37" s="5"/>
    </row>
    <row r="38" spans="1:9" ht="15" x14ac:dyDescent="0.25">
      <c r="A38" s="5" t="s">
        <v>33</v>
      </c>
      <c r="B38" s="36">
        <v>40000</v>
      </c>
      <c r="C38" s="1"/>
      <c r="D38" s="1"/>
      <c r="E38" s="1"/>
      <c r="F38" s="1"/>
      <c r="G38" s="1"/>
      <c r="H38" s="1"/>
      <c r="I38" s="1"/>
    </row>
    <row r="39" spans="1:9" ht="15" x14ac:dyDescent="0.25">
      <c r="A39" s="5" t="s">
        <v>34</v>
      </c>
      <c r="B39" s="37">
        <v>0.08</v>
      </c>
      <c r="C39" s="5" t="s">
        <v>35</v>
      </c>
      <c r="D39" s="38">
        <f>B39/12</f>
        <v>6.6666666666666671E-3</v>
      </c>
    </row>
    <row r="40" spans="1:9" ht="15" x14ac:dyDescent="0.25">
      <c r="A40" s="5"/>
      <c r="B40" s="5"/>
      <c r="C40" s="5"/>
      <c r="D40" s="5"/>
    </row>
    <row r="41" spans="1:9" ht="15" x14ac:dyDescent="0.25">
      <c r="A41" s="5"/>
      <c r="B41" s="5"/>
      <c r="C41" s="5"/>
      <c r="D41" s="5"/>
    </row>
    <row r="42" spans="1:9" ht="15" x14ac:dyDescent="0.25">
      <c r="A42" s="5"/>
      <c r="B42" s="5"/>
      <c r="C42" s="5"/>
      <c r="D42" s="5"/>
    </row>
    <row r="43" spans="1:9" ht="15" x14ac:dyDescent="0.25">
      <c r="A43" s="5"/>
      <c r="B43" s="5"/>
    </row>
    <row r="44" spans="1:9" ht="15" x14ac:dyDescent="0.25">
      <c r="A44" s="5"/>
      <c r="B44" s="5"/>
    </row>
    <row r="45" spans="1:9" ht="14.25" x14ac:dyDescent="0.2">
      <c r="A45" s="22"/>
      <c r="B45" s="22"/>
    </row>
    <row r="46" spans="1:9" ht="14.25" x14ac:dyDescent="0.2">
      <c r="A46" s="22"/>
      <c r="B46" s="22"/>
    </row>
  </sheetData>
  <phoneticPr fontId="0" type="noConversion"/>
  <printOptions gridLines="1" gridLinesSet="0"/>
  <pageMargins left="0.25" right="0.2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I47"/>
  <sheetViews>
    <sheetView zoomScale="130" zoomScaleNormal="130" workbookViewId="0">
      <pane ySplit="16" topLeftCell="A17" activePane="bottomLeft" state="frozen"/>
      <selection pane="bottomLeft" activeCell="D33" sqref="D33"/>
    </sheetView>
  </sheetViews>
  <sheetFormatPr defaultColWidth="8.85546875" defaultRowHeight="12.75" outlineLevelRow="1" x14ac:dyDescent="0.2"/>
  <cols>
    <col min="1" max="1" width="32.42578125" bestFit="1" customWidth="1"/>
    <col min="2" max="2" width="6.42578125" bestFit="1" customWidth="1"/>
    <col min="3" max="3" width="8.42578125" customWidth="1"/>
    <col min="4" max="4" width="8.28515625" customWidth="1"/>
    <col min="8" max="8" width="1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3">
        <f>'Exh 4-2'!C4</f>
        <v>42826</v>
      </c>
      <c r="D4" s="43">
        <f>'Exh 4-2'!D4</f>
        <v>42856</v>
      </c>
      <c r="E4" s="43">
        <f>'Exh 4-2'!E4</f>
        <v>42887</v>
      </c>
      <c r="F4" s="43">
        <f>'Exh 4-2'!F4</f>
        <v>42917</v>
      </c>
      <c r="G4" s="43">
        <f>'Exh 4-2'!G4</f>
        <v>42948</v>
      </c>
      <c r="H4" s="43">
        <f>'Exh 4-2'!H4</f>
        <v>42979</v>
      </c>
      <c r="I4" s="43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6.2" hidden="1" customHeight="1" outlineLevel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9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35" t="s">
        <v>37</v>
      </c>
      <c r="B23" s="6"/>
      <c r="C23" s="23"/>
      <c r="D23" s="23"/>
      <c r="E23" s="7">
        <f>IF(D34&gt;0,D34*$D$39,D34*$D$40)</f>
        <v>0</v>
      </c>
      <c r="F23" s="7">
        <f>IF(E34&gt;0,E34*$D$39,E34*$D$40)</f>
        <v>92</v>
      </c>
      <c r="G23" s="7">
        <f>IF(F34&gt;0,F34*$D$39,F34*$D$40)</f>
        <v>701.94666666666672</v>
      </c>
      <c r="H23" s="7">
        <f>IF(G34&gt;0,G34*$D$39,G34*$D$40)</f>
        <v>0</v>
      </c>
      <c r="I23" s="7"/>
    </row>
    <row r="24" spans="1:9" ht="15" x14ac:dyDescent="0.25">
      <c r="A24" s="5" t="s">
        <v>20</v>
      </c>
      <c r="B24" s="6"/>
      <c r="C24" s="23"/>
      <c r="D24" s="23"/>
      <c r="E24" s="7">
        <v>50000</v>
      </c>
      <c r="F24" s="7">
        <v>0</v>
      </c>
      <c r="G24" s="7">
        <v>0</v>
      </c>
      <c r="H24" s="7">
        <v>0</v>
      </c>
      <c r="I24" s="23"/>
    </row>
    <row r="25" spans="1:9" ht="15" x14ac:dyDescent="0.25">
      <c r="A25" s="5" t="s">
        <v>21</v>
      </c>
      <c r="B25" s="6"/>
      <c r="C25" s="23"/>
      <c r="D25" s="23"/>
      <c r="E25" s="7">
        <v>25000</v>
      </c>
      <c r="F25" s="7">
        <v>0</v>
      </c>
      <c r="G25" s="7">
        <v>0</v>
      </c>
      <c r="H25" s="7">
        <v>25000</v>
      </c>
      <c r="I25" s="23"/>
    </row>
    <row r="26" spans="1:9" ht="15" x14ac:dyDescent="0.25">
      <c r="A26" s="5" t="s">
        <v>22</v>
      </c>
      <c r="B26" s="6"/>
      <c r="C26" s="23"/>
      <c r="D26" s="23"/>
      <c r="E26" s="10">
        <v>0</v>
      </c>
      <c r="F26" s="10">
        <v>200000</v>
      </c>
      <c r="G26" s="10">
        <v>0</v>
      </c>
      <c r="H26" s="10">
        <v>0</v>
      </c>
      <c r="I26" s="23"/>
    </row>
    <row r="27" spans="1:9" ht="15.75" thickBot="1" x14ac:dyDescent="0.3">
      <c r="A27" s="24" t="s">
        <v>30</v>
      </c>
      <c r="B27" s="25"/>
      <c r="C27" s="26"/>
      <c r="D27" s="26"/>
      <c r="E27" s="27">
        <f>SUM(E19:E26)</f>
        <v>381500</v>
      </c>
      <c r="F27" s="27">
        <f>SUM(F19:F26)</f>
        <v>451992</v>
      </c>
      <c r="G27" s="27">
        <f>SUM(G19:G26)</f>
        <v>195501.94666666666</v>
      </c>
      <c r="H27" s="27">
        <f>SUM(H19:H26)</f>
        <v>185100</v>
      </c>
      <c r="I27" s="21"/>
    </row>
    <row r="28" spans="1:9" ht="15" x14ac:dyDescent="0.25">
      <c r="A28" s="5" t="s">
        <v>23</v>
      </c>
      <c r="B28" s="6"/>
      <c r="C28" s="23"/>
      <c r="D28" s="23"/>
      <c r="E28" s="23">
        <f>D33</f>
        <v>20000</v>
      </c>
      <c r="F28" s="23">
        <f>E33</f>
        <v>15000</v>
      </c>
      <c r="G28" s="23">
        <f>F33</f>
        <v>15000</v>
      </c>
      <c r="H28" s="23">
        <f>G33</f>
        <v>15506.053333333344</v>
      </c>
      <c r="I28" s="23"/>
    </row>
    <row r="29" spans="1:9" ht="15" x14ac:dyDescent="0.25">
      <c r="A29" s="5" t="s">
        <v>31</v>
      </c>
      <c r="B29" s="6"/>
      <c r="C29" s="23"/>
      <c r="D29" s="23"/>
      <c r="E29" s="28">
        <f>E17-E27</f>
        <v>-18800</v>
      </c>
      <c r="F29" s="28">
        <f>F17-F27</f>
        <v>-91492</v>
      </c>
      <c r="G29" s="28">
        <f>G17-G27</f>
        <v>105798.05333333334</v>
      </c>
      <c r="H29" s="28">
        <f>H17-H27</f>
        <v>29350</v>
      </c>
      <c r="I29" s="23"/>
    </row>
    <row r="30" spans="1:9" ht="15" x14ac:dyDescent="0.25">
      <c r="A30" s="5" t="s">
        <v>25</v>
      </c>
      <c r="B30" s="6"/>
      <c r="C30" s="23"/>
      <c r="D30" s="23"/>
      <c r="E30" s="23">
        <f>SUM(E28:E29)</f>
        <v>1200</v>
      </c>
      <c r="F30" s="23">
        <f>SUM(F28:F29)</f>
        <v>-76492</v>
      </c>
      <c r="G30" s="23">
        <f>SUM(G28:G29)</f>
        <v>120798.05333333334</v>
      </c>
      <c r="H30" s="23">
        <f>SUM(H28:H29)</f>
        <v>44856.053333333344</v>
      </c>
      <c r="I30" s="23"/>
    </row>
    <row r="31" spans="1:9" ht="15" x14ac:dyDescent="0.25">
      <c r="A31" s="5" t="s">
        <v>26</v>
      </c>
      <c r="B31" s="6"/>
      <c r="C31" s="21"/>
      <c r="D31" s="21"/>
      <c r="E31" s="21">
        <f>IF(E30&lt;$B$37,IF(D34&lt;0,MAX($B$37+D34-E30,0),$B$37-E30),IF(D34&gt;0,-MIN(D34,E30-$B$37),0))</f>
        <v>13800</v>
      </c>
      <c r="F31" s="21">
        <f t="shared" ref="F31:H31" si="1">IF(F30&lt;$B$37,IF(E34&lt;0,MAX($B$37+E34-F30,0),$B$37-F30),IF(E34&gt;0,-MIN(E34,F30-$B$37),0))</f>
        <v>91492</v>
      </c>
      <c r="G31" s="21">
        <f t="shared" si="1"/>
        <v>-105292</v>
      </c>
      <c r="H31" s="21">
        <f t="shared" si="1"/>
        <v>0</v>
      </c>
      <c r="I31" s="23"/>
    </row>
    <row r="32" spans="1:9" ht="15" x14ac:dyDescent="0.25">
      <c r="A32" s="5" t="s">
        <v>32</v>
      </c>
      <c r="B32" s="6"/>
      <c r="C32" s="21"/>
      <c r="D32" s="28"/>
      <c r="E32" s="28">
        <f>IF(AND(E30+E31&lt;$B$37,D34&lt;0),E30+E31-$B$37,IF(E30+E31&gt;$B$38,E30+E31-$B$38,0))</f>
        <v>0</v>
      </c>
      <c r="F32" s="28">
        <f>IF(AND(F30+F31&lt;$B$37,E34&lt;0),F30+F31-$B$37,IF(F30+F31&gt;$B$38,F30+F31-$B$38,0))</f>
        <v>0</v>
      </c>
      <c r="G32" s="28">
        <f>IF(AND(G30+G31&lt;$B$37,F34&lt;0),G30+G31-$B$37,IF(G30+G31&gt;$B$38,G30+G31-$B$38,0))</f>
        <v>0</v>
      </c>
      <c r="H32" s="28">
        <f>IF(AND(H30+H31&lt;$B$37,G34&lt;0),H30+H31-$B$37,IF(H30+H31&gt;$B$38,H30+H31-$B$38,0))</f>
        <v>4856.0533333333442</v>
      </c>
      <c r="I32" s="23"/>
    </row>
    <row r="33" spans="1:9" ht="15.75" thickBot="1" x14ac:dyDescent="0.3">
      <c r="A33" s="29" t="s">
        <v>27</v>
      </c>
      <c r="B33" s="30"/>
      <c r="C33" s="31"/>
      <c r="D33" s="31">
        <v>20000</v>
      </c>
      <c r="E33" s="31">
        <f>SUM(E30:E31)-E32</f>
        <v>15000</v>
      </c>
      <c r="F33" s="31">
        <f>SUM(F30:F31)-F32</f>
        <v>15000</v>
      </c>
      <c r="G33" s="31">
        <f>SUM(G30:G31)-G32</f>
        <v>15506.053333333344</v>
      </c>
      <c r="H33" s="31">
        <f>SUM(H30:H31)-H32</f>
        <v>40000</v>
      </c>
      <c r="I33" s="23"/>
    </row>
    <row r="34" spans="1:9" ht="15.75" thickTop="1" x14ac:dyDescent="0.25">
      <c r="A34" s="33" t="s">
        <v>50</v>
      </c>
      <c r="B34" s="34"/>
      <c r="C34" s="21"/>
      <c r="D34" s="21">
        <f>C34+D31-D32</f>
        <v>0</v>
      </c>
      <c r="E34" s="21">
        <f>D34+E31-E32</f>
        <v>13800</v>
      </c>
      <c r="F34" s="21">
        <f>E34+F31-F32</f>
        <v>105292</v>
      </c>
      <c r="G34" s="21">
        <f>F34+G31-G32</f>
        <v>0</v>
      </c>
      <c r="H34" s="21">
        <f>G34+H31-H32</f>
        <v>-4856.0533333333442</v>
      </c>
      <c r="I34" s="23"/>
    </row>
    <row r="35" spans="1:9" ht="15" x14ac:dyDescent="0.25">
      <c r="A35" s="33" t="s">
        <v>49</v>
      </c>
      <c r="B35" s="34"/>
      <c r="C35" s="21"/>
      <c r="D35" s="21"/>
      <c r="E35" s="21">
        <f>D35+E23</f>
        <v>0</v>
      </c>
      <c r="F35" s="21">
        <f>E35+F23</f>
        <v>92</v>
      </c>
      <c r="G35" s="21">
        <f>F35+G23</f>
        <v>793.94666666666672</v>
      </c>
      <c r="H35" s="21">
        <f>G35+H23</f>
        <v>793.94666666666672</v>
      </c>
      <c r="I35" s="23"/>
    </row>
    <row r="36" spans="1:9" ht="15" x14ac:dyDescent="0.25">
      <c r="A36" s="5" t="s">
        <v>28</v>
      </c>
      <c r="B36" s="5"/>
      <c r="C36" s="5"/>
      <c r="D36" s="32"/>
      <c r="E36" s="32"/>
      <c r="F36" s="32"/>
      <c r="G36" s="32"/>
      <c r="H36" s="32"/>
      <c r="I36" s="5"/>
    </row>
    <row r="37" spans="1:9" ht="15" x14ac:dyDescent="0.25">
      <c r="A37" s="5" t="s">
        <v>29</v>
      </c>
      <c r="B37" s="32">
        <f>'Exh 4-2'!B33</f>
        <v>15000</v>
      </c>
      <c r="C37" s="5"/>
      <c r="D37" s="5"/>
      <c r="E37" s="5"/>
      <c r="F37" s="5"/>
      <c r="G37" s="5"/>
      <c r="H37" s="5"/>
      <c r="I37" s="5"/>
    </row>
    <row r="38" spans="1:9" ht="15" x14ac:dyDescent="0.25">
      <c r="A38" s="5" t="s">
        <v>33</v>
      </c>
      <c r="B38" s="36">
        <v>40000</v>
      </c>
      <c r="C38" s="1"/>
      <c r="D38" s="1"/>
      <c r="E38" s="1"/>
      <c r="F38" s="1"/>
      <c r="G38" s="1"/>
      <c r="H38" s="1"/>
      <c r="I38" s="1"/>
    </row>
    <row r="39" spans="1:9" ht="15" x14ac:dyDescent="0.25">
      <c r="A39" s="5" t="s">
        <v>34</v>
      </c>
      <c r="B39" s="37">
        <v>0.08</v>
      </c>
      <c r="C39" s="5" t="s">
        <v>35</v>
      </c>
      <c r="D39" s="38">
        <f>B39/12</f>
        <v>6.6666666666666671E-3</v>
      </c>
    </row>
    <row r="40" spans="1:9" ht="15" x14ac:dyDescent="0.25">
      <c r="A40" s="5" t="s">
        <v>36</v>
      </c>
      <c r="B40" s="37">
        <v>0.06</v>
      </c>
      <c r="C40" s="5" t="s">
        <v>35</v>
      </c>
      <c r="D40" s="38">
        <f>B40/12</f>
        <v>5.0000000000000001E-3</v>
      </c>
    </row>
    <row r="41" spans="1:9" ht="15" x14ac:dyDescent="0.25">
      <c r="A41" s="5"/>
      <c r="B41" s="5"/>
      <c r="C41" s="5"/>
      <c r="D41" s="5"/>
    </row>
    <row r="42" spans="1:9" ht="15" x14ac:dyDescent="0.25">
      <c r="A42" s="5"/>
      <c r="B42" s="5"/>
      <c r="C42" s="5"/>
      <c r="D42" s="5"/>
    </row>
    <row r="43" spans="1:9" ht="15" x14ac:dyDescent="0.25">
      <c r="A43" s="5"/>
      <c r="B43" s="5"/>
      <c r="C43" s="5"/>
      <c r="D43" s="5"/>
    </row>
    <row r="44" spans="1:9" ht="15" x14ac:dyDescent="0.25">
      <c r="A44" s="5"/>
      <c r="B44" s="5"/>
    </row>
    <row r="45" spans="1:9" ht="15" x14ac:dyDescent="0.25">
      <c r="A45" s="5"/>
      <c r="B45" s="5"/>
    </row>
    <row r="46" spans="1:9" ht="14.25" x14ac:dyDescent="0.2">
      <c r="A46" s="22"/>
      <c r="B46" s="22"/>
    </row>
    <row r="47" spans="1:9" ht="14.25" x14ac:dyDescent="0.2">
      <c r="A47" s="22"/>
      <c r="B47" s="22"/>
    </row>
  </sheetData>
  <phoneticPr fontId="0" type="noConversion"/>
  <printOptions gridLines="1" gridLinesSet="0"/>
  <pageMargins left="0.25" right="0.25" top="1" bottom="1" header="0.5" footer="0.5"/>
  <pageSetup orientation="landscape" r:id="rId1"/>
  <headerFooter alignWithMargins="0"/>
  <cellWatches>
    <cellWatch r="E31"/>
  </cellWatch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I47"/>
  <sheetViews>
    <sheetView zoomScale="130" zoomScaleNormal="130" workbookViewId="0">
      <pane ySplit="16" topLeftCell="A21" activePane="bottomLeft" state="frozen"/>
      <selection pane="bottomLeft" activeCell="E44" sqref="E44"/>
    </sheetView>
  </sheetViews>
  <sheetFormatPr defaultColWidth="8.85546875" defaultRowHeight="12.75" outlineLevelRow="1" x14ac:dyDescent="0.2"/>
  <cols>
    <col min="1" max="1" width="29.85546875" customWidth="1"/>
    <col min="2" max="2" width="6.42578125" bestFit="1" customWidth="1"/>
    <col min="3" max="3" width="8.42578125" customWidth="1"/>
    <col min="4" max="4" width="8.28515625" customWidth="1"/>
    <col min="8" max="8" width="11" customWidth="1"/>
  </cols>
  <sheetData>
    <row r="1" spans="1:9" ht="14.25" x14ac:dyDescent="0.2">
      <c r="A1" s="2" t="str">
        <f>'Exh 4-2'!A1</f>
        <v>Bithlo Barbecues</v>
      </c>
      <c r="B1" s="2"/>
      <c r="C1" s="2"/>
      <c r="D1" s="2"/>
      <c r="E1" s="2"/>
      <c r="F1" s="2"/>
      <c r="G1" s="2"/>
      <c r="H1" s="2"/>
      <c r="I1" s="2"/>
    </row>
    <row r="2" spans="1:9" ht="14.25" x14ac:dyDescent="0.2">
      <c r="A2" s="2" t="str">
        <f>'Exh 4-2'!A2</f>
        <v>Cash Budget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25">
      <c r="A3" s="3" t="str">
        <f>'Exh 4-2'!A3</f>
        <v>For the Period June to September 2017</v>
      </c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4"/>
      <c r="B4" s="4"/>
      <c r="C4" s="43">
        <f>'Exh 4-2'!C4</f>
        <v>42826</v>
      </c>
      <c r="D4" s="43">
        <f>'Exh 4-2'!D4</f>
        <v>42856</v>
      </c>
      <c r="E4" s="43">
        <f>'Exh 4-2'!E4</f>
        <v>42887</v>
      </c>
      <c r="F4" s="43">
        <f>'Exh 4-2'!F4</f>
        <v>42917</v>
      </c>
      <c r="G4" s="43">
        <f>'Exh 4-2'!G4</f>
        <v>42948</v>
      </c>
      <c r="H4" s="43">
        <f>'Exh 4-2'!H4</f>
        <v>42979</v>
      </c>
      <c r="I4" s="43">
        <f>'Exh 4-2'!I4</f>
        <v>43009</v>
      </c>
    </row>
    <row r="5" spans="1:9" ht="15" hidden="1" outlineLevel="1" x14ac:dyDescent="0.25">
      <c r="A5" s="5" t="s">
        <v>5</v>
      </c>
      <c r="B5" s="6"/>
      <c r="C5" s="7">
        <f>'Exh 4-2'!C5</f>
        <v>291000</v>
      </c>
      <c r="D5" s="7">
        <f>'Exh 4-2'!D5</f>
        <v>365000</v>
      </c>
      <c r="E5" s="7">
        <f>'Exh 4-2'!E5</f>
        <v>387000</v>
      </c>
      <c r="F5" s="7">
        <f>'Exh 4-2'!F5</f>
        <v>329000</v>
      </c>
      <c r="G5" s="7">
        <f>'Exh 4-2'!G5</f>
        <v>238000</v>
      </c>
      <c r="H5" s="7">
        <f>'Exh 4-2'!H5</f>
        <v>145000</v>
      </c>
      <c r="I5" s="7">
        <f>'Exh 4-2'!I5</f>
        <v>92000</v>
      </c>
    </row>
    <row r="6" spans="1:9" ht="15" hidden="1" outlineLevel="1" x14ac:dyDescent="0.25">
      <c r="A6" s="8" t="s">
        <v>6</v>
      </c>
      <c r="B6" s="6"/>
      <c r="C6" s="7"/>
      <c r="D6" s="7"/>
      <c r="E6" s="7"/>
      <c r="F6" s="7"/>
      <c r="G6" s="7"/>
      <c r="H6" s="7"/>
      <c r="I6" s="7"/>
    </row>
    <row r="7" spans="1:9" ht="15" hidden="1" outlineLevel="1" x14ac:dyDescent="0.25">
      <c r="A7" s="5" t="s">
        <v>7</v>
      </c>
      <c r="B7" s="9">
        <f>'Exh 4-2'!B7</f>
        <v>0.4</v>
      </c>
      <c r="C7" s="7"/>
      <c r="D7" s="7"/>
      <c r="E7" s="7">
        <f>E5*$B7</f>
        <v>154800</v>
      </c>
      <c r="F7" s="7">
        <f>F5*$B7</f>
        <v>131600</v>
      </c>
      <c r="G7" s="7">
        <f>G5*$B7</f>
        <v>95200</v>
      </c>
      <c r="H7" s="7">
        <f>H5*$B7</f>
        <v>58000</v>
      </c>
      <c r="I7" s="7"/>
    </row>
    <row r="8" spans="1:9" ht="15" hidden="1" outlineLevel="1" x14ac:dyDescent="0.25">
      <c r="A8" s="5" t="s">
        <v>8</v>
      </c>
      <c r="B8" s="9">
        <f>'Exh 4-2'!B8</f>
        <v>0.45</v>
      </c>
      <c r="C8" s="7"/>
      <c r="D8" s="7"/>
      <c r="E8" s="7">
        <f>D5*$B8</f>
        <v>164250</v>
      </c>
      <c r="F8" s="7">
        <f>E5*$B8</f>
        <v>174150</v>
      </c>
      <c r="G8" s="7">
        <f>F5*$B8</f>
        <v>148050</v>
      </c>
      <c r="H8" s="7">
        <f>G5*$B8</f>
        <v>107100</v>
      </c>
      <c r="I8" s="7"/>
    </row>
    <row r="9" spans="1:9" ht="15" hidden="1" outlineLevel="1" x14ac:dyDescent="0.25">
      <c r="A9" s="5" t="s">
        <v>9</v>
      </c>
      <c r="B9" s="9">
        <f>'Exh 4-2'!B9</f>
        <v>0.15</v>
      </c>
      <c r="C9" s="7"/>
      <c r="D9" s="7"/>
      <c r="E9" s="10">
        <f>C5*$B9</f>
        <v>43650</v>
      </c>
      <c r="F9" s="10">
        <f>D5*$B9</f>
        <v>54750</v>
      </c>
      <c r="G9" s="10">
        <f>E5*$B9</f>
        <v>58050</v>
      </c>
      <c r="H9" s="10">
        <f>F5*$B9</f>
        <v>49350</v>
      </c>
      <c r="I9" s="7"/>
    </row>
    <row r="10" spans="1:9" ht="15.75" hidden="1" outlineLevel="1" thickBot="1" x14ac:dyDescent="0.3">
      <c r="A10" s="11" t="s">
        <v>10</v>
      </c>
      <c r="B10" s="12"/>
      <c r="C10" s="13"/>
      <c r="D10" s="13"/>
      <c r="E10" s="14">
        <f>SUM(E7:E9)</f>
        <v>362700</v>
      </c>
      <c r="F10" s="14">
        <f>SUM(F7:F9)</f>
        <v>360500</v>
      </c>
      <c r="G10" s="14">
        <f>SUM(G7:G9)</f>
        <v>301300</v>
      </c>
      <c r="H10" s="14">
        <f>SUM(H7:H9)</f>
        <v>214450</v>
      </c>
      <c r="I10" s="7"/>
    </row>
    <row r="11" spans="1:9" ht="15.75" hidden="1" outlineLevel="1" thickTop="1" x14ac:dyDescent="0.25">
      <c r="A11" s="5" t="s">
        <v>11</v>
      </c>
      <c r="B11" s="9">
        <f>'Exh 4-2'!B11</f>
        <v>0.5</v>
      </c>
      <c r="C11" s="7">
        <f t="shared" ref="C11:H11" si="0">$B11*D5</f>
        <v>182500</v>
      </c>
      <c r="D11" s="7">
        <f t="shared" si="0"/>
        <v>193500</v>
      </c>
      <c r="E11" s="7">
        <f t="shared" si="0"/>
        <v>164500</v>
      </c>
      <c r="F11" s="7">
        <f t="shared" si="0"/>
        <v>119000</v>
      </c>
      <c r="G11" s="7">
        <f t="shared" si="0"/>
        <v>72500</v>
      </c>
      <c r="H11" s="7">
        <f t="shared" si="0"/>
        <v>46000</v>
      </c>
      <c r="I11" s="7"/>
    </row>
    <row r="12" spans="1:9" ht="15" hidden="1" outlineLevel="1" x14ac:dyDescent="0.25">
      <c r="A12" s="8" t="s">
        <v>12</v>
      </c>
      <c r="B12" s="9"/>
      <c r="C12" s="7"/>
      <c r="D12" s="7"/>
      <c r="E12" s="7"/>
      <c r="F12" s="7"/>
      <c r="G12" s="7"/>
      <c r="H12" s="7"/>
      <c r="I12" s="7"/>
    </row>
    <row r="13" spans="1:9" ht="15" hidden="1" outlineLevel="1" x14ac:dyDescent="0.25">
      <c r="A13" s="5" t="s">
        <v>8</v>
      </c>
      <c r="B13" s="9">
        <f>'Exh 4-2'!B13</f>
        <v>0.6</v>
      </c>
      <c r="C13" s="7"/>
      <c r="D13" s="7"/>
      <c r="E13" s="7">
        <f>$B13*D11</f>
        <v>116100</v>
      </c>
      <c r="F13" s="7">
        <f>$B13*E11</f>
        <v>98700</v>
      </c>
      <c r="G13" s="7">
        <f>$B13*F11</f>
        <v>71400</v>
      </c>
      <c r="H13" s="7">
        <f>$B13*G11</f>
        <v>43500</v>
      </c>
      <c r="I13" s="7"/>
    </row>
    <row r="14" spans="1:9" ht="15" hidden="1" outlineLevel="1" x14ac:dyDescent="0.25">
      <c r="A14" s="5" t="s">
        <v>9</v>
      </c>
      <c r="B14" s="9">
        <f>'Exh 4-2'!B14</f>
        <v>0.4</v>
      </c>
      <c r="C14" s="7"/>
      <c r="D14" s="7"/>
      <c r="E14" s="10">
        <f>$B14*C11</f>
        <v>73000</v>
      </c>
      <c r="F14" s="10">
        <f>$B14*D11</f>
        <v>77400</v>
      </c>
      <c r="G14" s="10">
        <f>$B14*E11</f>
        <v>65800</v>
      </c>
      <c r="H14" s="10">
        <f>$B14*F11</f>
        <v>47600</v>
      </c>
      <c r="I14" s="7"/>
    </row>
    <row r="15" spans="1:9" ht="15.75" hidden="1" outlineLevel="1" thickBot="1" x14ac:dyDescent="0.3">
      <c r="A15" s="15" t="s">
        <v>13</v>
      </c>
      <c r="B15" s="16"/>
      <c r="C15" s="17"/>
      <c r="D15" s="17"/>
      <c r="E15" s="14">
        <f>SUM(E13:E14)</f>
        <v>189100</v>
      </c>
      <c r="F15" s="14">
        <f>SUM(F13:F14)</f>
        <v>176100</v>
      </c>
      <c r="G15" s="14">
        <f>SUM(G13:G14)</f>
        <v>137200</v>
      </c>
      <c r="H15" s="14">
        <f>SUM(H13:H14)</f>
        <v>91100</v>
      </c>
      <c r="I15" s="7"/>
    </row>
    <row r="16" spans="1:9" ht="6.2" hidden="1" customHeight="1" outlineLevel="1" thickTop="1" thickBot="1" x14ac:dyDescent="0.3">
      <c r="A16" s="18"/>
      <c r="B16" s="19"/>
      <c r="C16" s="20"/>
      <c r="D16" s="20"/>
      <c r="E16" s="20"/>
      <c r="F16" s="20"/>
      <c r="G16" s="20"/>
      <c r="H16" s="20"/>
      <c r="I16" s="21"/>
    </row>
    <row r="17" spans="1:9" ht="15" collapsed="1" x14ac:dyDescent="0.25">
      <c r="A17" s="5" t="s">
        <v>14</v>
      </c>
      <c r="B17" s="6"/>
      <c r="C17" s="23"/>
      <c r="D17" s="23"/>
      <c r="E17" s="7">
        <f>E10</f>
        <v>362700</v>
      </c>
      <c r="F17" s="7">
        <f>F10</f>
        <v>360500</v>
      </c>
      <c r="G17" s="7">
        <f>G10</f>
        <v>301300</v>
      </c>
      <c r="H17" s="7">
        <f>H10</f>
        <v>214450</v>
      </c>
      <c r="I17" s="23"/>
    </row>
    <row r="18" spans="1:9" ht="15" x14ac:dyDescent="0.25">
      <c r="A18" s="8" t="s">
        <v>15</v>
      </c>
      <c r="B18" s="6"/>
      <c r="C18" s="23"/>
      <c r="D18" s="23"/>
      <c r="E18" s="7"/>
      <c r="F18" s="7"/>
      <c r="G18" s="7"/>
      <c r="H18" s="7"/>
      <c r="I18" s="23"/>
    </row>
    <row r="19" spans="1:9" ht="15" x14ac:dyDescent="0.25">
      <c r="A19" s="5" t="s">
        <v>16</v>
      </c>
      <c r="B19" s="6"/>
      <c r="C19" s="23"/>
      <c r="D19" s="23"/>
      <c r="E19" s="7">
        <f>E15</f>
        <v>189100</v>
      </c>
      <c r="F19" s="7">
        <f>F15</f>
        <v>176100</v>
      </c>
      <c r="G19" s="7">
        <f>G15</f>
        <v>137200</v>
      </c>
      <c r="H19" s="7">
        <f>H15</f>
        <v>91100</v>
      </c>
      <c r="I19" s="23"/>
    </row>
    <row r="20" spans="1:9" ht="15" x14ac:dyDescent="0.25">
      <c r="A20" s="5" t="s">
        <v>17</v>
      </c>
      <c r="B20" s="9">
        <f>'Exh 4-2'!B20</f>
        <v>0.2</v>
      </c>
      <c r="C20" s="23"/>
      <c r="D20" s="23"/>
      <c r="E20" s="7">
        <f>$B20*E5</f>
        <v>77400</v>
      </c>
      <c r="F20" s="7">
        <f>$B20*F5</f>
        <v>65800</v>
      </c>
      <c r="G20" s="7">
        <f>$B20*G5</f>
        <v>47600</v>
      </c>
      <c r="H20" s="7">
        <f>$B20*H5</f>
        <v>29000</v>
      </c>
      <c r="I20" s="23"/>
    </row>
    <row r="21" spans="1:9" ht="15" x14ac:dyDescent="0.25">
      <c r="A21" s="5" t="s">
        <v>18</v>
      </c>
      <c r="B21" s="6"/>
      <c r="C21" s="23"/>
      <c r="D21" s="23"/>
      <c r="E21" s="7">
        <v>10000</v>
      </c>
      <c r="F21" s="7">
        <v>10000</v>
      </c>
      <c r="G21" s="7">
        <v>10000</v>
      </c>
      <c r="H21" s="7">
        <v>10000</v>
      </c>
      <c r="I21" s="23"/>
    </row>
    <row r="22" spans="1:9" ht="15" x14ac:dyDescent="0.25">
      <c r="A22" s="5" t="s">
        <v>19</v>
      </c>
      <c r="B22" s="6"/>
      <c r="C22" s="23"/>
      <c r="D22" s="23"/>
      <c r="E22" s="7">
        <v>30000</v>
      </c>
      <c r="F22" s="7">
        <v>0</v>
      </c>
      <c r="G22" s="7">
        <v>0</v>
      </c>
      <c r="H22" s="7">
        <v>30000</v>
      </c>
      <c r="I22" s="23"/>
    </row>
    <row r="23" spans="1:9" ht="15" x14ac:dyDescent="0.25">
      <c r="A23" s="35" t="s">
        <v>37</v>
      </c>
      <c r="B23" s="6"/>
      <c r="C23" s="23"/>
      <c r="D23" s="23"/>
      <c r="E23" s="7">
        <f>IF(D34&gt;0,D34*$D$39,D34*$D$40)</f>
        <v>-25</v>
      </c>
      <c r="F23" s="7">
        <f>IF(E34&gt;0,E34*$D$39,E34*$D$40)</f>
        <v>91.833333333333343</v>
      </c>
      <c r="G23" s="7">
        <f>IF(F34&gt;0,F34*$D$39,F34*$D$40)</f>
        <v>701.77888888888924</v>
      </c>
      <c r="H23" s="7">
        <f>IF(G34&gt;0,G34*$D$39,G34*$D$40)</f>
        <v>-2.6569388888886896</v>
      </c>
      <c r="I23" s="7"/>
    </row>
    <row r="24" spans="1:9" ht="15" x14ac:dyDescent="0.25">
      <c r="A24" s="5" t="s">
        <v>20</v>
      </c>
      <c r="B24" s="6"/>
      <c r="C24" s="23"/>
      <c r="D24" s="23"/>
      <c r="E24" s="7">
        <v>50000</v>
      </c>
      <c r="F24" s="7">
        <v>0</v>
      </c>
      <c r="G24" s="7">
        <v>0</v>
      </c>
      <c r="H24" s="7">
        <v>0</v>
      </c>
      <c r="I24" s="23"/>
    </row>
    <row r="25" spans="1:9" ht="15" x14ac:dyDescent="0.25">
      <c r="A25" s="5" t="s">
        <v>21</v>
      </c>
      <c r="B25" s="6"/>
      <c r="C25" s="23"/>
      <c r="D25" s="23"/>
      <c r="E25" s="7">
        <v>25000</v>
      </c>
      <c r="F25" s="7">
        <v>0</v>
      </c>
      <c r="G25" s="7">
        <v>0</v>
      </c>
      <c r="H25" s="7">
        <v>25000</v>
      </c>
      <c r="I25" s="23"/>
    </row>
    <row r="26" spans="1:9" ht="15" x14ac:dyDescent="0.25">
      <c r="A26" s="5" t="s">
        <v>22</v>
      </c>
      <c r="B26" s="6"/>
      <c r="C26" s="23"/>
      <c r="D26" s="23"/>
      <c r="E26" s="10">
        <v>0</v>
      </c>
      <c r="F26" s="10">
        <v>200000</v>
      </c>
      <c r="G26" s="10">
        <v>0</v>
      </c>
      <c r="H26" s="10">
        <v>0</v>
      </c>
      <c r="I26" s="23"/>
    </row>
    <row r="27" spans="1:9" ht="15.75" thickBot="1" x14ac:dyDescent="0.3">
      <c r="A27" s="24" t="s">
        <v>30</v>
      </c>
      <c r="B27" s="25"/>
      <c r="C27" s="26"/>
      <c r="D27" s="26"/>
      <c r="E27" s="27">
        <f>SUM(E19:E26)</f>
        <v>381475</v>
      </c>
      <c r="F27" s="27">
        <f>SUM(F19:F26)</f>
        <v>451991.83333333337</v>
      </c>
      <c r="G27" s="27">
        <f>SUM(G19:G26)</f>
        <v>195501.77888888889</v>
      </c>
      <c r="H27" s="27">
        <f>SUM(H19:H26)</f>
        <v>185097.34306111111</v>
      </c>
      <c r="I27" s="21"/>
    </row>
    <row r="28" spans="1:9" ht="15" x14ac:dyDescent="0.25">
      <c r="A28" s="5" t="s">
        <v>23</v>
      </c>
      <c r="B28" s="6"/>
      <c r="C28" s="23"/>
      <c r="D28" s="23"/>
      <c r="E28" s="23">
        <f>D33</f>
        <v>15000</v>
      </c>
      <c r="F28" s="23">
        <f>E33</f>
        <v>15000</v>
      </c>
      <c r="G28" s="23">
        <f>F33</f>
        <v>15000</v>
      </c>
      <c r="H28" s="23">
        <f>G33</f>
        <v>15000</v>
      </c>
      <c r="I28" s="23"/>
    </row>
    <row r="29" spans="1:9" ht="15" x14ac:dyDescent="0.25">
      <c r="A29" s="5" t="s">
        <v>31</v>
      </c>
      <c r="B29" s="6"/>
      <c r="C29" s="23"/>
      <c r="D29" s="23"/>
      <c r="E29" s="28">
        <f>E17-E27</f>
        <v>-18775</v>
      </c>
      <c r="F29" s="28">
        <f>F17-F27</f>
        <v>-91491.833333333372</v>
      </c>
      <c r="G29" s="28">
        <f>G17-G27</f>
        <v>105798.22111111111</v>
      </c>
      <c r="H29" s="28">
        <f>H17-H27</f>
        <v>29352.656938888889</v>
      </c>
      <c r="I29" s="23"/>
    </row>
    <row r="30" spans="1:9" ht="15" x14ac:dyDescent="0.25">
      <c r="A30" s="5" t="s">
        <v>25</v>
      </c>
      <c r="B30" s="6"/>
      <c r="C30" s="23"/>
      <c r="D30" s="23">
        <v>20000</v>
      </c>
      <c r="E30" s="23">
        <f>SUM(E28:E29)</f>
        <v>-3775</v>
      </c>
      <c r="F30" s="23">
        <f>SUM(F28:F29)</f>
        <v>-76491.833333333372</v>
      </c>
      <c r="G30" s="23">
        <f>SUM(G28:G29)</f>
        <v>120798.22111111111</v>
      </c>
      <c r="H30" s="23">
        <f>SUM(H28:H29)</f>
        <v>44352.656938888889</v>
      </c>
      <c r="I30" s="23"/>
    </row>
    <row r="31" spans="1:9" ht="15" x14ac:dyDescent="0.25">
      <c r="A31" s="5" t="s">
        <v>26</v>
      </c>
      <c r="B31" s="6"/>
      <c r="C31" s="21"/>
      <c r="D31" s="21">
        <f>IF(D30&lt;$B$37,IF(C34&lt;0,MAX($B$37+C34-D30,0),$B$37-D30),IF(C34&gt;0,-MIN(C34,D30-$B$37),0))</f>
        <v>0</v>
      </c>
      <c r="E31" s="21">
        <f t="shared" ref="E31:H31" si="1">IF(E30&lt;$B$37,IF(D34&lt;0,MAX($B$37+D34-E30,0),$B$37-E30),IF(D34&gt;0,-MIN(D34,E30-$B$37),0))</f>
        <v>13775</v>
      </c>
      <c r="F31" s="21">
        <f t="shared" si="1"/>
        <v>91491.833333333372</v>
      </c>
      <c r="G31" s="21">
        <f t="shared" si="1"/>
        <v>-105266.83333333337</v>
      </c>
      <c r="H31" s="21">
        <f t="shared" si="1"/>
        <v>0</v>
      </c>
      <c r="I31" s="23"/>
    </row>
    <row r="32" spans="1:9" ht="15" x14ac:dyDescent="0.25">
      <c r="A32" s="5" t="s">
        <v>32</v>
      </c>
      <c r="B32" s="6"/>
      <c r="C32" s="21"/>
      <c r="D32" s="28">
        <f>IF(AND(D30+D31&lt;$B$37,C34&lt;0),D30+D31-$B$37,IF(D30+D31&gt;$B$38,D30+D31-$B$38,0))</f>
        <v>5000</v>
      </c>
      <c r="E32" s="28">
        <f>IF(AND(E30+E31&lt;$B$37,D34&lt;0),E30+E31-$B$37,IF(E30+E31&gt;$B$38,E30+E31-$B$38,0))</f>
        <v>-5000</v>
      </c>
      <c r="F32" s="28">
        <f>IF(AND(F30+F31&lt;$B$37,E34&lt;0),F30+F31-$B$37,IF(F30+F31&gt;$B$38,F30+F31-$B$38,0))</f>
        <v>0</v>
      </c>
      <c r="G32" s="28">
        <f>IF(AND(G30+G31&lt;$B$37,F34&lt;0),G30+G31-$B$37,IF(G30+G31&gt;$B$38,G30+G31-$B$38,0))</f>
        <v>531.38777777773794</v>
      </c>
      <c r="H32" s="28">
        <f>IF(AND(H30+H31&lt;$B$37,G34&lt;0),H30+H31-$B$37,IF(H30+H31&gt;$B$38,H30+H31-$B$38,0))</f>
        <v>29352.656938888889</v>
      </c>
      <c r="I32" s="23"/>
    </row>
    <row r="33" spans="1:9" ht="15.75" thickBot="1" x14ac:dyDescent="0.3">
      <c r="A33" s="29" t="s">
        <v>27</v>
      </c>
      <c r="B33" s="30"/>
      <c r="C33" s="31"/>
      <c r="D33" s="31">
        <f>SUM(D30:D31)-D32</f>
        <v>15000</v>
      </c>
      <c r="E33" s="31">
        <f>SUM(E30:E31)-E32</f>
        <v>15000</v>
      </c>
      <c r="F33" s="31">
        <f>SUM(F30:F31)-F32</f>
        <v>15000</v>
      </c>
      <c r="G33" s="31">
        <f>SUM(G30:G31)-G32</f>
        <v>15000</v>
      </c>
      <c r="H33" s="31">
        <f>SUM(H30:H31)-H32</f>
        <v>15000</v>
      </c>
      <c r="I33" s="23"/>
    </row>
    <row r="34" spans="1:9" ht="15.75" thickTop="1" x14ac:dyDescent="0.25">
      <c r="A34" s="33" t="s">
        <v>50</v>
      </c>
      <c r="B34" s="34"/>
      <c r="C34" s="21"/>
      <c r="D34" s="21">
        <f>C34+D31-D32</f>
        <v>-5000</v>
      </c>
      <c r="E34" s="21">
        <f>D34+E31-E32</f>
        <v>13775</v>
      </c>
      <c r="F34" s="21">
        <f>E34+F31-F32</f>
        <v>105266.83333333337</v>
      </c>
      <c r="G34" s="21">
        <f>F34+G31-G32</f>
        <v>-531.38777777773794</v>
      </c>
      <c r="H34" s="21">
        <f>G34+H31-H32</f>
        <v>-29884.044716666627</v>
      </c>
      <c r="I34" s="23"/>
    </row>
    <row r="35" spans="1:9" ht="15" x14ac:dyDescent="0.25">
      <c r="A35" s="33" t="s">
        <v>49</v>
      </c>
      <c r="B35" s="34"/>
      <c r="C35" s="21"/>
      <c r="D35" s="21"/>
      <c r="E35" s="21">
        <f>D35+E23</f>
        <v>-25</v>
      </c>
      <c r="F35" s="21">
        <f>E35+F23</f>
        <v>66.833333333333343</v>
      </c>
      <c r="G35" s="21">
        <f>F35+G23</f>
        <v>768.61222222222261</v>
      </c>
      <c r="H35" s="21">
        <f>G35+H23</f>
        <v>765.95528333333391</v>
      </c>
      <c r="I35" s="23"/>
    </row>
    <row r="36" spans="1:9" ht="15" x14ac:dyDescent="0.25">
      <c r="A36" s="5" t="s">
        <v>28</v>
      </c>
      <c r="B36" s="5"/>
      <c r="C36" s="5"/>
      <c r="D36" s="32"/>
      <c r="E36" s="32"/>
      <c r="F36" s="32"/>
      <c r="G36" s="32"/>
      <c r="H36" s="32"/>
      <c r="I36" s="5"/>
    </row>
    <row r="37" spans="1:9" ht="15" x14ac:dyDescent="0.25">
      <c r="A37" s="5" t="s">
        <v>29</v>
      </c>
      <c r="B37" s="32">
        <f>'Exh 4-2'!B33</f>
        <v>15000</v>
      </c>
      <c r="C37" s="5"/>
      <c r="D37" s="5"/>
      <c r="E37" s="5"/>
      <c r="F37" s="5"/>
      <c r="G37" s="5"/>
      <c r="H37" s="5"/>
      <c r="I37" s="5"/>
    </row>
    <row r="38" spans="1:9" ht="15" x14ac:dyDescent="0.25">
      <c r="A38" s="5" t="s">
        <v>33</v>
      </c>
      <c r="B38" s="36">
        <v>15000</v>
      </c>
      <c r="C38" s="1"/>
      <c r="D38" s="1"/>
      <c r="E38" s="1"/>
      <c r="F38" s="1"/>
      <c r="G38" s="1"/>
      <c r="H38" s="1"/>
      <c r="I38" s="1"/>
    </row>
    <row r="39" spans="1:9" ht="15" x14ac:dyDescent="0.25">
      <c r="A39" s="5" t="s">
        <v>34</v>
      </c>
      <c r="B39" s="37">
        <v>0.08</v>
      </c>
      <c r="C39" s="5" t="s">
        <v>35</v>
      </c>
      <c r="D39" s="38">
        <f>B39/12</f>
        <v>6.6666666666666671E-3</v>
      </c>
    </row>
    <row r="40" spans="1:9" ht="15" x14ac:dyDescent="0.25">
      <c r="A40" s="5" t="s">
        <v>36</v>
      </c>
      <c r="B40" s="37">
        <v>0.06</v>
      </c>
      <c r="C40" s="5" t="s">
        <v>35</v>
      </c>
      <c r="D40" s="38">
        <f>B40/12</f>
        <v>5.0000000000000001E-3</v>
      </c>
    </row>
    <row r="41" spans="1:9" ht="15" x14ac:dyDescent="0.25">
      <c r="A41" s="5"/>
      <c r="B41" s="5"/>
      <c r="C41" s="5"/>
      <c r="D41" s="5"/>
    </row>
    <row r="42" spans="1:9" ht="15" x14ac:dyDescent="0.25">
      <c r="A42" s="5"/>
      <c r="B42" s="5"/>
      <c r="C42" s="5"/>
      <c r="D42" s="5"/>
    </row>
    <row r="43" spans="1:9" ht="15" x14ac:dyDescent="0.25">
      <c r="A43" s="5"/>
      <c r="B43" s="5"/>
      <c r="C43" s="5"/>
      <c r="D43" s="5"/>
    </row>
    <row r="44" spans="1:9" ht="15" x14ac:dyDescent="0.25">
      <c r="A44" s="5"/>
      <c r="B44" s="5"/>
    </row>
    <row r="45" spans="1:9" ht="15" x14ac:dyDescent="0.25">
      <c r="A45" s="5"/>
      <c r="B45" s="5"/>
    </row>
    <row r="46" spans="1:9" ht="14.25" x14ac:dyDescent="0.2">
      <c r="A46" s="22"/>
      <c r="B46" s="22"/>
    </row>
    <row r="47" spans="1:9" ht="14.25" x14ac:dyDescent="0.2">
      <c r="A47" s="22"/>
      <c r="B47" s="22"/>
    </row>
  </sheetData>
  <phoneticPr fontId="0" type="noConversion"/>
  <printOptions gridLines="1" gridLinesSet="0"/>
  <pageMargins left="0.25" right="0.2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Exh 4-1</vt:lpstr>
      <vt:lpstr>Exh 4-2</vt:lpstr>
      <vt:lpstr>Exh 4-3</vt:lpstr>
      <vt:lpstr>Exh 4-4</vt:lpstr>
      <vt:lpstr>Exh 4-5</vt:lpstr>
      <vt:lpstr>Exh 4-6</vt:lpstr>
      <vt:lpstr>Scenario Summary</vt:lpstr>
      <vt:lpstr>Exh 4-8</vt:lpstr>
      <vt:lpstr>Exh 4-9</vt:lpstr>
      <vt:lpstr>Exh 4-10</vt:lpstr>
      <vt:lpstr>'Exh 4-6'!August</vt:lpstr>
      <vt:lpstr>'Exh 4-6'!July</vt:lpstr>
      <vt:lpstr>'Exh 4-6'!June</vt:lpstr>
      <vt:lpstr>June_Borrowing</vt:lpstr>
      <vt:lpstr>Max_Borrowing</vt:lpstr>
      <vt:lpstr>'Exh 4-8'!Print_Area</vt:lpstr>
      <vt:lpstr>'Exh 4-6'!September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Budget</dc:title>
  <dc:subject>Cash budgeting</dc:subject>
  <dc:creator>Timothy R. Mayes, Ph.D.</dc:creator>
  <cp:keywords>FAME5</cp:keywords>
  <cp:lastModifiedBy>Brian</cp:lastModifiedBy>
  <cp:lastPrinted>2008-10-18T22:31:32Z</cp:lastPrinted>
  <dcterms:created xsi:type="dcterms:W3CDTF">1995-11-04T19:22:48Z</dcterms:created>
  <dcterms:modified xsi:type="dcterms:W3CDTF">2021-09-22T21:16:17Z</dcterms:modified>
</cp:coreProperties>
</file>